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nonaute/Desktop/Licence RH/ATP/"/>
    </mc:Choice>
  </mc:AlternateContent>
  <xr:revisionPtr revIDLastSave="0" documentId="13_ncr:1_{47189A04-BF26-FD4A-B261-A780AB6E1198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Données" sheetId="1" r:id="rId1"/>
    <sheet name="17 Etu" sheetId="5" r:id="rId2"/>
  </sheets>
  <definedNames>
    <definedName name="_xlnm._FilterDatabase" localSheetId="0" hidden="1">Données!$C$5:$N$85</definedName>
  </definedNames>
  <calcPr calcId="191029"/>
  <pivotCaches>
    <pivotCache cacheId="40" r:id="rId3"/>
    <pivotCache cacheId="41" r:id="rId4"/>
    <pivotCache cacheId="4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D111" i="1"/>
  <c r="D389" i="1"/>
  <c r="D390" i="1"/>
  <c r="E365" i="1"/>
  <c r="E36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D321" i="1"/>
  <c r="D322" i="1"/>
  <c r="D313" i="1"/>
  <c r="D303" i="1"/>
  <c r="B242" i="1"/>
  <c r="B243" i="1"/>
  <c r="B244" i="1"/>
  <c r="B245" i="1"/>
  <c r="B246" i="1"/>
  <c r="B241" i="1"/>
  <c r="Y18" i="1"/>
  <c r="C246" i="1" s="1"/>
  <c r="Y14" i="1"/>
  <c r="C242" i="1" s="1"/>
  <c r="Y15" i="1"/>
  <c r="C243" i="1" s="1"/>
  <c r="Y16" i="1"/>
  <c r="C244" i="1" s="1"/>
  <c r="Y17" i="1"/>
  <c r="C245" i="1" s="1"/>
  <c r="Y13" i="1"/>
  <c r="C241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S6" i="1"/>
  <c r="T6" i="1" s="1"/>
  <c r="D182" i="1"/>
  <c r="D183" i="1"/>
  <c r="D184" i="1"/>
  <c r="D185" i="1"/>
  <c r="D181" i="1"/>
  <c r="E182" i="1"/>
  <c r="E183" i="1"/>
  <c r="E184" i="1"/>
  <c r="E185" i="1"/>
  <c r="E181" i="1"/>
  <c r="D112" i="1" l="1"/>
  <c r="D391" i="1"/>
  <c r="E367" i="1"/>
  <c r="D366" i="1"/>
  <c r="D365" i="1"/>
  <c r="D323" i="1"/>
  <c r="E245" i="1"/>
  <c r="D243" i="1"/>
  <c r="E241" i="1"/>
  <c r="D244" i="1"/>
  <c r="D245" i="1"/>
  <c r="D246" i="1"/>
  <c r="E246" i="1"/>
  <c r="D241" i="1"/>
  <c r="D242" i="1"/>
  <c r="E242" i="1"/>
  <c r="E244" i="1"/>
  <c r="E243" i="1"/>
  <c r="F185" i="1"/>
  <c r="F184" i="1"/>
  <c r="F183" i="1"/>
  <c r="F182" i="1"/>
  <c r="D186" i="1"/>
  <c r="E186" i="1"/>
  <c r="F181" i="1"/>
  <c r="H6" i="1"/>
  <c r="Y9" i="1"/>
  <c r="C351" i="1" s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D399" i="1" l="1"/>
  <c r="D398" i="1"/>
  <c r="D396" i="1"/>
  <c r="D397" i="1"/>
  <c r="E377" i="1"/>
  <c r="E376" i="1"/>
  <c r="E374" i="1"/>
  <c r="E375" i="1"/>
  <c r="D374" i="1"/>
  <c r="D375" i="1"/>
  <c r="D376" i="1"/>
  <c r="D377" i="1"/>
  <c r="D367" i="1"/>
  <c r="F245" i="1"/>
  <c r="D334" i="1"/>
  <c r="D332" i="1"/>
  <c r="D331" i="1"/>
  <c r="D335" i="1"/>
  <c r="D336" i="1"/>
  <c r="D333" i="1"/>
  <c r="D330" i="1"/>
  <c r="F244" i="1"/>
  <c r="F246" i="1"/>
  <c r="E247" i="1"/>
  <c r="F241" i="1"/>
  <c r="D247" i="1"/>
  <c r="F243" i="1"/>
  <c r="F242" i="1"/>
  <c r="F268" i="1"/>
  <c r="F270" i="1"/>
  <c r="F272" i="1"/>
  <c r="E267" i="1"/>
  <c r="E271" i="1"/>
  <c r="D269" i="1"/>
  <c r="G268" i="1"/>
  <c r="G270" i="1"/>
  <c r="G272" i="1"/>
  <c r="E268" i="1"/>
  <c r="E272" i="1"/>
  <c r="D270" i="1"/>
  <c r="F269" i="1"/>
  <c r="F271" i="1"/>
  <c r="F267" i="1"/>
  <c r="E269" i="1"/>
  <c r="D267" i="1"/>
  <c r="D271" i="1"/>
  <c r="G269" i="1"/>
  <c r="G271" i="1"/>
  <c r="G267" i="1"/>
  <c r="E270" i="1"/>
  <c r="D268" i="1"/>
  <c r="D272" i="1"/>
  <c r="D155" i="1"/>
  <c r="C209" i="1"/>
  <c r="F186" i="1"/>
  <c r="D126" i="1"/>
  <c r="D138" i="1"/>
  <c r="D139" i="1"/>
  <c r="D140" i="1"/>
  <c r="D141" i="1"/>
  <c r="E138" i="1"/>
  <c r="E139" i="1"/>
  <c r="E140" i="1"/>
  <c r="E141" i="1"/>
  <c r="D123" i="1"/>
  <c r="D125" i="1"/>
  <c r="D124" i="1"/>
  <c r="D400" i="1" l="1"/>
  <c r="F375" i="1"/>
  <c r="F374" i="1"/>
  <c r="F376" i="1"/>
  <c r="F377" i="1"/>
  <c r="E378" i="1"/>
  <c r="D378" i="1"/>
  <c r="D337" i="1"/>
  <c r="H268" i="1"/>
  <c r="F273" i="1"/>
  <c r="F247" i="1"/>
  <c r="H272" i="1"/>
  <c r="H271" i="1"/>
  <c r="H269" i="1"/>
  <c r="H270" i="1"/>
  <c r="E273" i="1"/>
  <c r="G273" i="1"/>
  <c r="D273" i="1"/>
  <c r="H267" i="1"/>
  <c r="D142" i="1"/>
  <c r="E142" i="1"/>
  <c r="D127" i="1"/>
  <c r="AL18" i="1"/>
  <c r="AK18" i="1"/>
  <c r="AL17" i="1"/>
  <c r="AK17" i="1"/>
  <c r="AL16" i="1"/>
  <c r="AK16" i="1"/>
  <c r="AL15" i="1"/>
  <c r="AK15" i="1"/>
  <c r="Y8" i="1"/>
  <c r="C350" i="1" s="1"/>
  <c r="Y7" i="1"/>
  <c r="C349" i="1" s="1"/>
  <c r="Y10" i="1"/>
  <c r="C352" i="1" s="1"/>
  <c r="Y6" i="1"/>
  <c r="C348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U24" i="1" s="1"/>
  <c r="S25" i="1"/>
  <c r="T25" i="1" s="1"/>
  <c r="S26" i="1"/>
  <c r="T26" i="1" s="1"/>
  <c r="S27" i="1"/>
  <c r="T27" i="1" s="1"/>
  <c r="S28" i="1"/>
  <c r="T28" i="1" s="1"/>
  <c r="U28" i="1" s="1"/>
  <c r="S29" i="1"/>
  <c r="T29" i="1" s="1"/>
  <c r="S30" i="1"/>
  <c r="T30" i="1" s="1"/>
  <c r="S31" i="1"/>
  <c r="T31" i="1" s="1"/>
  <c r="S32" i="1"/>
  <c r="T32" i="1" s="1"/>
  <c r="U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U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U46" i="1" s="1"/>
  <c r="S47" i="1"/>
  <c r="T47" i="1" s="1"/>
  <c r="S48" i="1"/>
  <c r="T48" i="1" s="1"/>
  <c r="U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U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U68" i="1" s="1"/>
  <c r="S69" i="1"/>
  <c r="T69" i="1" s="1"/>
  <c r="S70" i="1"/>
  <c r="T70" i="1" s="1"/>
  <c r="S71" i="1"/>
  <c r="T71" i="1" s="1"/>
  <c r="S72" i="1"/>
  <c r="T72" i="1" s="1"/>
  <c r="U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U84" i="1" s="1"/>
  <c r="S85" i="1"/>
  <c r="T85" i="1" s="1"/>
  <c r="S7" i="1"/>
  <c r="T7" i="1" s="1"/>
  <c r="J94" i="1"/>
  <c r="J92" i="1"/>
  <c r="K92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6" i="1"/>
  <c r="J90" i="1"/>
  <c r="J88" i="1"/>
  <c r="A6" i="5"/>
  <c r="A11" i="5"/>
  <c r="F378" i="1" l="1"/>
  <c r="U69" i="1"/>
  <c r="U37" i="1"/>
  <c r="U77" i="1"/>
  <c r="H273" i="1"/>
  <c r="D152" i="1"/>
  <c r="C206" i="1"/>
  <c r="D156" i="1"/>
  <c r="C210" i="1"/>
  <c r="D154" i="1"/>
  <c r="C208" i="1"/>
  <c r="D153" i="1"/>
  <c r="C207" i="1"/>
  <c r="U8" i="1"/>
  <c r="U75" i="1"/>
  <c r="U51" i="1"/>
  <c r="U47" i="1"/>
  <c r="F155" i="1"/>
  <c r="F152" i="1"/>
  <c r="F153" i="1"/>
  <c r="F156" i="1"/>
  <c r="F154" i="1"/>
  <c r="G155" i="1"/>
  <c r="G156" i="1"/>
  <c r="G152" i="1"/>
  <c r="G154" i="1"/>
  <c r="G153" i="1"/>
  <c r="L153" i="1"/>
  <c r="L154" i="1"/>
  <c r="L152" i="1"/>
  <c r="L155" i="1"/>
  <c r="L156" i="1"/>
  <c r="I153" i="1"/>
  <c r="I156" i="1"/>
  <c r="I154" i="1"/>
  <c r="I155" i="1"/>
  <c r="I152" i="1"/>
  <c r="E153" i="1"/>
  <c r="E154" i="1"/>
  <c r="E156" i="1"/>
  <c r="E152" i="1"/>
  <c r="E155" i="1"/>
  <c r="H155" i="1"/>
  <c r="H152" i="1"/>
  <c r="H156" i="1"/>
  <c r="H154" i="1"/>
  <c r="H153" i="1"/>
  <c r="K154" i="1"/>
  <c r="K152" i="1"/>
  <c r="K156" i="1"/>
  <c r="K153" i="1"/>
  <c r="K155" i="1"/>
  <c r="J155" i="1"/>
  <c r="J153" i="1"/>
  <c r="J154" i="1"/>
  <c r="J152" i="1"/>
  <c r="J156" i="1"/>
  <c r="U74" i="1"/>
  <c r="U71" i="1"/>
  <c r="U59" i="1"/>
  <c r="U19" i="1"/>
  <c r="U7" i="1"/>
  <c r="U18" i="1"/>
  <c r="U10" i="1"/>
  <c r="U9" i="1"/>
  <c r="AA10" i="1"/>
  <c r="AA6" i="1"/>
  <c r="AA7" i="1"/>
  <c r="AA9" i="1"/>
  <c r="AA8" i="1"/>
  <c r="U60" i="1"/>
  <c r="U52" i="1"/>
  <c r="U44" i="1"/>
  <c r="U6" i="1"/>
  <c r="U83" i="1"/>
  <c r="U79" i="1"/>
  <c r="U67" i="1"/>
  <c r="U63" i="1"/>
  <c r="U55" i="1"/>
  <c r="U43" i="1"/>
  <c r="U39" i="1"/>
  <c r="U31" i="1"/>
  <c r="U27" i="1"/>
  <c r="U23" i="1"/>
  <c r="U15" i="1"/>
  <c r="U73" i="1"/>
  <c r="U65" i="1"/>
  <c r="U57" i="1"/>
  <c r="U53" i="1"/>
  <c r="U45" i="1"/>
  <c r="U41" i="1"/>
  <c r="U33" i="1"/>
  <c r="U29" i="1"/>
  <c r="U25" i="1"/>
  <c r="U13" i="1"/>
  <c r="U80" i="1"/>
  <c r="U76" i="1"/>
  <c r="U85" i="1"/>
  <c r="U81" i="1"/>
  <c r="U61" i="1"/>
  <c r="U49" i="1"/>
  <c r="U21" i="1"/>
  <c r="U17" i="1"/>
  <c r="U64" i="1"/>
  <c r="U56" i="1"/>
  <c r="U20" i="1"/>
  <c r="U35" i="1"/>
  <c r="U11" i="1"/>
  <c r="U36" i="1"/>
  <c r="U82" i="1"/>
  <c r="U78" i="1"/>
  <c r="U70" i="1"/>
  <c r="U66" i="1"/>
  <c r="U62" i="1"/>
  <c r="U58" i="1"/>
  <c r="U50" i="1"/>
  <c r="U42" i="1"/>
  <c r="U38" i="1"/>
  <c r="U34" i="1"/>
  <c r="U30" i="1"/>
  <c r="U26" i="1"/>
  <c r="U22" i="1"/>
  <c r="U14" i="1"/>
  <c r="U16" i="1"/>
  <c r="U12" i="1"/>
  <c r="AM18" i="1"/>
  <c r="AM17" i="1"/>
  <c r="AL19" i="1"/>
  <c r="AK8" i="1" s="1"/>
  <c r="AM16" i="1"/>
  <c r="AK19" i="1"/>
  <c r="AM15" i="1"/>
  <c r="K90" i="1"/>
  <c r="A21" i="5"/>
  <c r="A20" i="5"/>
  <c r="A19" i="5"/>
  <c r="A18" i="5"/>
  <c r="A17" i="5"/>
  <c r="A16" i="5"/>
  <c r="A15" i="5"/>
  <c r="A14" i="5"/>
  <c r="A13" i="5"/>
  <c r="A12" i="5"/>
  <c r="A10" i="5"/>
  <c r="A9" i="5"/>
  <c r="A8" i="5"/>
  <c r="A7" i="5"/>
  <c r="A5" i="5"/>
  <c r="A4" i="5"/>
  <c r="D350" i="1" l="1"/>
  <c r="D348" i="1"/>
  <c r="D349" i="1"/>
  <c r="D351" i="1"/>
  <c r="D352" i="1"/>
  <c r="E206" i="1"/>
  <c r="E210" i="1"/>
  <c r="E207" i="1"/>
  <c r="E208" i="1"/>
  <c r="E209" i="1"/>
  <c r="D209" i="1"/>
  <c r="F209" i="1" s="1"/>
  <c r="D208" i="1"/>
  <c r="F208" i="1" s="1"/>
  <c r="D206" i="1"/>
  <c r="D210" i="1"/>
  <c r="F210" i="1" s="1"/>
  <c r="D207" i="1"/>
  <c r="F207" i="1" s="1"/>
  <c r="K157" i="1"/>
  <c r="J157" i="1"/>
  <c r="H157" i="1"/>
  <c r="I157" i="1"/>
  <c r="L157" i="1"/>
  <c r="K158" i="1" s="1"/>
  <c r="G157" i="1"/>
  <c r="F157" i="1"/>
  <c r="E157" i="1"/>
  <c r="AK9" i="1"/>
  <c r="AK10" i="1" s="1"/>
  <c r="B8" i="5"/>
  <c r="B6" i="5"/>
  <c r="B17" i="5"/>
  <c r="B20" i="5"/>
  <c r="B7" i="5"/>
  <c r="B10" i="5"/>
  <c r="B14" i="5"/>
  <c r="B18" i="5"/>
  <c r="B21" i="5"/>
  <c r="B4" i="5"/>
  <c r="B11" i="5"/>
  <c r="B15" i="5"/>
  <c r="B19" i="5"/>
  <c r="B5" i="5"/>
  <c r="B9" i="5"/>
  <c r="B13" i="5"/>
  <c r="B12" i="5"/>
  <c r="B16" i="5"/>
  <c r="E211" i="1" l="1"/>
  <c r="F206" i="1"/>
  <c r="D211" i="1"/>
  <c r="D353" i="1"/>
  <c r="I158" i="1"/>
  <c r="G158" i="1"/>
  <c r="E158" i="1"/>
  <c r="M158" i="1" l="1"/>
</calcChain>
</file>

<file path=xl/sharedStrings.xml><?xml version="1.0" encoding="utf-8"?>
<sst xmlns="http://schemas.openxmlformats.org/spreadsheetml/2006/main" count="644" uniqueCount="251">
  <si>
    <t>NOM Prenom</t>
  </si>
  <si>
    <t>Sexe</t>
  </si>
  <si>
    <t>D_Nais</t>
  </si>
  <si>
    <t>D_Arrivée</t>
  </si>
  <si>
    <t>D_Sortie</t>
  </si>
  <si>
    <t>Statut</t>
  </si>
  <si>
    <t>Motif_Sortie</t>
  </si>
  <si>
    <t>Salaire/an</t>
  </si>
  <si>
    <t>M</t>
  </si>
  <si>
    <t>F</t>
  </si>
  <si>
    <t>Individu_01</t>
  </si>
  <si>
    <t>Individu_02</t>
  </si>
  <si>
    <t>Individu_03</t>
  </si>
  <si>
    <t>Individu_04</t>
  </si>
  <si>
    <t>Individu_05</t>
  </si>
  <si>
    <t>Individu_06</t>
  </si>
  <si>
    <t>Individu_07</t>
  </si>
  <si>
    <t>Individu_08</t>
  </si>
  <si>
    <t>Individu_09</t>
  </si>
  <si>
    <t>Individu_10</t>
  </si>
  <si>
    <t>Individu_11</t>
  </si>
  <si>
    <t>Individu_12</t>
  </si>
  <si>
    <t>Individu_13</t>
  </si>
  <si>
    <t>Individu_14</t>
  </si>
  <si>
    <t>Individu_15</t>
  </si>
  <si>
    <t>Individu_16</t>
  </si>
  <si>
    <t>Individu_17</t>
  </si>
  <si>
    <t>Individu_18</t>
  </si>
  <si>
    <t>Individu_19</t>
  </si>
  <si>
    <t>Individu_20</t>
  </si>
  <si>
    <t>Individu_21</t>
  </si>
  <si>
    <t>Individu_22</t>
  </si>
  <si>
    <t>Individu_23</t>
  </si>
  <si>
    <t>Individu_24</t>
  </si>
  <si>
    <t>Individu_25</t>
  </si>
  <si>
    <t>Individu_26</t>
  </si>
  <si>
    <t>Individu_27</t>
  </si>
  <si>
    <t>Individu_28</t>
  </si>
  <si>
    <t>Individu_29</t>
  </si>
  <si>
    <t>Individu_30</t>
  </si>
  <si>
    <t>Individu_31</t>
  </si>
  <si>
    <t>Individu_32</t>
  </si>
  <si>
    <t>Individu_33</t>
  </si>
  <si>
    <t>Individu_34</t>
  </si>
  <si>
    <t>Individu_35</t>
  </si>
  <si>
    <t>Individu_36</t>
  </si>
  <si>
    <t>Individu_37</t>
  </si>
  <si>
    <t>Individu_38</t>
  </si>
  <si>
    <t>Individu_39</t>
  </si>
  <si>
    <t>Individu_40</t>
  </si>
  <si>
    <t>Tps%</t>
  </si>
  <si>
    <t>Absenteisme</t>
  </si>
  <si>
    <t>ENTREPRISE X</t>
  </si>
  <si>
    <t>Individu_41</t>
  </si>
  <si>
    <t>Individu_42</t>
  </si>
  <si>
    <t>Individu_43</t>
  </si>
  <si>
    <t>Individu_44</t>
  </si>
  <si>
    <t>Individu_45</t>
  </si>
  <si>
    <t>Individu_46</t>
  </si>
  <si>
    <t>Individu_47</t>
  </si>
  <si>
    <t>Individu_48</t>
  </si>
  <si>
    <t>Individu_49</t>
  </si>
  <si>
    <t>Individu_50</t>
  </si>
  <si>
    <t>Individu_51</t>
  </si>
  <si>
    <t>Individu_52</t>
  </si>
  <si>
    <t>Individu_53</t>
  </si>
  <si>
    <t>Individu_54</t>
  </si>
  <si>
    <t>Individu_55</t>
  </si>
  <si>
    <t>Individu_56</t>
  </si>
  <si>
    <t>Individu_57</t>
  </si>
  <si>
    <t>Individu_58</t>
  </si>
  <si>
    <t>Individu_59</t>
  </si>
  <si>
    <t>Individu_60</t>
  </si>
  <si>
    <t>Individu_61</t>
  </si>
  <si>
    <t>Individu_62</t>
  </si>
  <si>
    <t>Individu_63</t>
  </si>
  <si>
    <t>Individu_64</t>
  </si>
  <si>
    <t>Individu_65</t>
  </si>
  <si>
    <t>Individu_66</t>
  </si>
  <si>
    <t>Individu_67</t>
  </si>
  <si>
    <t>Individu_68</t>
  </si>
  <si>
    <t>Individu_69</t>
  </si>
  <si>
    <t>Individu_70</t>
  </si>
  <si>
    <t>Individu_71</t>
  </si>
  <si>
    <t>Individu_72</t>
  </si>
  <si>
    <t>Individu_73</t>
  </si>
  <si>
    <t>Individu_74</t>
  </si>
  <si>
    <t>Individu_75</t>
  </si>
  <si>
    <t>Individu_76</t>
  </si>
  <si>
    <t>Individu_77</t>
  </si>
  <si>
    <t>Individu_78</t>
  </si>
  <si>
    <t>Individu_79</t>
  </si>
  <si>
    <t>Individu_80</t>
  </si>
  <si>
    <t xml:space="preserve">Nom Prénom </t>
  </si>
  <si>
    <t>Décès</t>
  </si>
  <si>
    <t>Démission</t>
  </si>
  <si>
    <t>Retraite</t>
  </si>
  <si>
    <t>Licenciement économique</t>
  </si>
  <si>
    <t>Licenciement non éco</t>
  </si>
  <si>
    <t>Fin de contrat</t>
  </si>
  <si>
    <t>Autres</t>
  </si>
  <si>
    <t>Ouvrier</t>
  </si>
  <si>
    <t>Employé</t>
  </si>
  <si>
    <t>Cadre</t>
  </si>
  <si>
    <t>Directeur</t>
  </si>
  <si>
    <t>Salaire</t>
  </si>
  <si>
    <t>salaire brut annuel (prime incluse)</t>
  </si>
  <si>
    <t>Absentéisme</t>
  </si>
  <si>
    <t>Temps%</t>
  </si>
  <si>
    <t>pour les temps partiels</t>
  </si>
  <si>
    <t>en jours d'absence</t>
  </si>
  <si>
    <t>LEGENDE</t>
  </si>
  <si>
    <t>(par convention, le salaire est payé</t>
  </si>
  <si>
    <t xml:space="preserve">   pendant les absences)</t>
  </si>
  <si>
    <t>Il n'y a pas eu de grève, ni de jours chomés</t>
  </si>
  <si>
    <t>Remarques</t>
  </si>
  <si>
    <t>PROBLEME</t>
  </si>
  <si>
    <t>1°)  Elaborer le bilan social</t>
  </si>
  <si>
    <t>Répartition (sexe, âge, ancienneté)</t>
  </si>
  <si>
    <t>Mouvements (entrées et départs)</t>
  </si>
  <si>
    <t>Rémunération</t>
  </si>
  <si>
    <t>Effectif (selon statut, Temps plein et partiel)</t>
  </si>
  <si>
    <t>2°) Proposer une analyse sociale de l'entreprise</t>
  </si>
  <si>
    <t>Outils :</t>
  </si>
  <si>
    <t>Tableau (en unités et en %) [tri à plat]</t>
  </si>
  <si>
    <t>Croisement des paramètres</t>
  </si>
  <si>
    <t>Graphiques (différentes formes)</t>
  </si>
  <si>
    <t>Rapport avec traitement de texte</t>
  </si>
  <si>
    <t>*</t>
  </si>
  <si>
    <t>BILAN SOCIAL</t>
  </si>
  <si>
    <t xml:space="preserve"> </t>
  </si>
  <si>
    <t>Recommandation : ne pas modifier cette feuille</t>
  </si>
  <si>
    <t>Questions liminaires</t>
  </si>
  <si>
    <t>2) Quel est le salarié le plus jeune ?</t>
  </si>
  <si>
    <t>3) Quel est le salarié le plus ancien ?</t>
  </si>
  <si>
    <t>NOM Prénom</t>
  </si>
  <si>
    <t>Groupe</t>
  </si>
  <si>
    <t>D</t>
  </si>
  <si>
    <t>A</t>
  </si>
  <si>
    <t>C</t>
  </si>
  <si>
    <t>E</t>
  </si>
  <si>
    <t>Membres</t>
  </si>
  <si>
    <t>B</t>
  </si>
  <si>
    <t>à cause du RGPD, Numéro</t>
  </si>
  <si>
    <t>AHIDAR Wafa</t>
  </si>
  <si>
    <t>BOUKHENOUNA Marisa</t>
  </si>
  <si>
    <t>CARBALLO Lisa</t>
  </si>
  <si>
    <t>CECCOTTI Emma</t>
  </si>
  <si>
    <t>CHAZALON Aurore</t>
  </si>
  <si>
    <t>COULON Lucas</t>
  </si>
  <si>
    <t>DAVOINE Malory</t>
  </si>
  <si>
    <t>DI MARTINO Camille</t>
  </si>
  <si>
    <t>FERNANDEZ Elisa</t>
  </si>
  <si>
    <t>HUC Elodie</t>
  </si>
  <si>
    <t>JOIE Estelle</t>
  </si>
  <si>
    <t>LAAFOU Ilies</t>
  </si>
  <si>
    <t>PETRUCCI Chloé</t>
  </si>
  <si>
    <t>PIQUE Alice</t>
  </si>
  <si>
    <t>SIMOES Léa</t>
  </si>
  <si>
    <t>SOLA Jessica</t>
  </si>
  <si>
    <t>LP RH AA    2021-2022</t>
  </si>
  <si>
    <t>ATP 02 Bilan Social 30/09/21</t>
  </si>
  <si>
    <t>BOUTEILLES Manon</t>
  </si>
  <si>
    <t>BENHADDOU Yasmina</t>
  </si>
  <si>
    <t>Année 2021</t>
  </si>
  <si>
    <t>1) Quel est l'effectif ETP en fin 2021 ?</t>
  </si>
  <si>
    <t>4) Quelle est la masse salariale de 2021 ?</t>
  </si>
  <si>
    <t>1)</t>
  </si>
  <si>
    <t>2)</t>
  </si>
  <si>
    <t>3)</t>
  </si>
  <si>
    <t>4)</t>
  </si>
  <si>
    <t xml:space="preserve">TOTAL </t>
  </si>
  <si>
    <t>Effectif:</t>
  </si>
  <si>
    <t>TOTAL</t>
  </si>
  <si>
    <t>statu</t>
  </si>
  <si>
    <t xml:space="preserve">Le statu en fonction du sexe </t>
  </si>
  <si>
    <t>Étiquettes de lignes</t>
  </si>
  <si>
    <t>Total général</t>
  </si>
  <si>
    <t>Étiquettes de colonnes</t>
  </si>
  <si>
    <t>Nombre de D_Arrivée</t>
  </si>
  <si>
    <t>Somme de Absenteisme</t>
  </si>
  <si>
    <t>Somme de Statut</t>
  </si>
  <si>
    <t>Age</t>
  </si>
  <si>
    <t>Nombre de Sexe</t>
  </si>
  <si>
    <t xml:space="preserve">Categorie age </t>
  </si>
  <si>
    <t xml:space="preserve">MANON AUTE  &amp;  MORGANE ZUSSA </t>
  </si>
  <si>
    <t xml:space="preserve">NOM Prenom </t>
  </si>
  <si>
    <t>BILAN SOCIAL FIN 2021</t>
  </si>
  <si>
    <t xml:space="preserve">Effectifs par statut </t>
  </si>
  <si>
    <t xml:space="preserve">Statut </t>
  </si>
  <si>
    <t xml:space="preserve">Nombre </t>
  </si>
  <si>
    <t xml:space="preserve">Directeur </t>
  </si>
  <si>
    <t xml:space="preserve">Motif sortie </t>
  </si>
  <si>
    <t xml:space="preserve">Repartition  statut / sexe </t>
  </si>
  <si>
    <t xml:space="preserve">Ouvrier </t>
  </si>
  <si>
    <t xml:space="preserve">Total </t>
  </si>
  <si>
    <t xml:space="preserve">Tranches age </t>
  </si>
  <si>
    <t xml:space="preserve">Employé </t>
  </si>
  <si>
    <t xml:space="preserve">Cadre </t>
  </si>
  <si>
    <t>Totaux</t>
  </si>
  <si>
    <t xml:space="preserve">Repartition Statut /sexe / age </t>
  </si>
  <si>
    <t xml:space="preserve">Total General </t>
  </si>
  <si>
    <t>Pyramide des ages :</t>
  </si>
  <si>
    <t xml:space="preserve">Tranche age </t>
  </si>
  <si>
    <t xml:space="preserve">F </t>
  </si>
  <si>
    <t>Colonne1</t>
  </si>
  <si>
    <t>ancienneté</t>
  </si>
  <si>
    <t>age</t>
  </si>
  <si>
    <t xml:space="preserve">ancienneté </t>
  </si>
  <si>
    <t xml:space="preserve">Tranche ancienneté </t>
  </si>
  <si>
    <t xml:space="preserve">Ancienneté </t>
  </si>
  <si>
    <t>Effectif  ancienneté / Genre</t>
  </si>
  <si>
    <t xml:space="preserve">effectif ancienneté / statut </t>
  </si>
  <si>
    <t>de 0 ans à 5ans</t>
  </si>
  <si>
    <t>de 5 ans à 10ans</t>
  </si>
  <si>
    <t>de 10 ans à 20ans</t>
  </si>
  <si>
    <t>de 20 ans à 30ans</t>
  </si>
  <si>
    <t>de 30 ans à 40ans</t>
  </si>
  <si>
    <t xml:space="preserve">superieur à 40 ans </t>
  </si>
  <si>
    <t xml:space="preserve">Total Géneral </t>
  </si>
  <si>
    <t>Entrées</t>
  </si>
  <si>
    <t>genre</t>
  </si>
  <si>
    <t>Genre</t>
  </si>
  <si>
    <t xml:space="preserve">Effectif entrées / genre  2021 </t>
  </si>
  <si>
    <t>Effectif entrées / statut 2021</t>
  </si>
  <si>
    <t>Nombre</t>
  </si>
  <si>
    <t>Sorties</t>
  </si>
  <si>
    <t xml:space="preserve">Sorties par genre </t>
  </si>
  <si>
    <t xml:space="preserve">Genre </t>
  </si>
  <si>
    <t xml:space="preserve">Sorties pas motifs </t>
  </si>
  <si>
    <t xml:space="preserve">Motifs </t>
  </si>
  <si>
    <t xml:space="preserve">sorite par age  </t>
  </si>
  <si>
    <t xml:space="preserve">Tranche d'age </t>
  </si>
  <si>
    <t xml:space="preserve">Absenteisme </t>
  </si>
  <si>
    <t xml:space="preserve">Nombre de  personne </t>
  </si>
  <si>
    <t xml:space="preserve">Nombre de jours </t>
  </si>
  <si>
    <t>Colonne2</t>
  </si>
  <si>
    <t xml:space="preserve">Nombre de salariés abs par genre et nombre de jours Abs par genre </t>
  </si>
  <si>
    <t xml:space="preserve">Nombre de salariés abs par statut et nombre de jours Abs par statut </t>
  </si>
  <si>
    <t xml:space="preserve">Nombre de personne </t>
  </si>
  <si>
    <t>Nombre de jours ABS</t>
  </si>
  <si>
    <t>en %</t>
  </si>
  <si>
    <t xml:space="preserve">Remunération </t>
  </si>
  <si>
    <t>Masse salariale annuelle /genre</t>
  </si>
  <si>
    <t xml:space="preserve">Masse salariale </t>
  </si>
  <si>
    <t xml:space="preserve">Masse salariale annuelle / statut </t>
  </si>
  <si>
    <t>Total</t>
  </si>
  <si>
    <t xml:space="preserve">Effectifs par genre </t>
  </si>
  <si>
    <t>Effectifs</t>
  </si>
  <si>
    <t xml:space="preserve">Effectif  temps plein / temps partiel : </t>
  </si>
  <si>
    <t xml:space="preserve">Temps plein/ partiel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</si>
</sst>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/mm/yy;@"/>
    <numFmt numFmtId="166" formatCode="0.000"/>
    <numFmt numFmtId="167" formatCode="_-* #,##0.00\ [$€-40C]_-;\-* #,##0.00\ [$€-40C]_-;_-* &quot;-&quot;??\ [$€-40C]_-;_-@_-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i/>
      <u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08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/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7" fillId="0" borderId="0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5" borderId="0" xfId="0" applyFont="1" applyFill="1" applyBorder="1"/>
    <xf numFmtId="0" fontId="3" fillId="0" borderId="0" xfId="0" applyFont="1" applyBorder="1"/>
    <xf numFmtId="9" fontId="3" fillId="0" borderId="0" xfId="1" applyFont="1" applyBorder="1"/>
    <xf numFmtId="0" fontId="6" fillId="0" borderId="0" xfId="0" applyFont="1" applyBorder="1"/>
    <xf numFmtId="0" fontId="3" fillId="6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65" fontId="9" fillId="9" borderId="12" xfId="0" applyNumberFormat="1" applyFont="1" applyFill="1" applyBorder="1"/>
    <xf numFmtId="165" fontId="0" fillId="9" borderId="13" xfId="0" applyNumberFormat="1" applyFill="1" applyBorder="1"/>
    <xf numFmtId="0" fontId="0" fillId="9" borderId="14" xfId="0" applyFill="1" applyBorder="1"/>
    <xf numFmtId="165" fontId="0" fillId="9" borderId="15" xfId="0" applyNumberFormat="1" applyFill="1" applyBorder="1"/>
    <xf numFmtId="165" fontId="0" fillId="9" borderId="0" xfId="0" applyNumberFormat="1" applyFill="1" applyBorder="1"/>
    <xf numFmtId="0" fontId="0" fillId="9" borderId="16" xfId="0" applyFill="1" applyBorder="1"/>
    <xf numFmtId="165" fontId="0" fillId="9" borderId="18" xfId="0" applyNumberFormat="1" applyFill="1" applyBorder="1"/>
    <xf numFmtId="0" fontId="0" fillId="9" borderId="19" xfId="0" applyFill="1" applyBorder="1"/>
    <xf numFmtId="3" fontId="0" fillId="4" borderId="2" xfId="0" applyNumberFormat="1" applyFill="1" applyBorder="1"/>
    <xf numFmtId="165" fontId="1" fillId="9" borderId="15" xfId="0" applyNumberFormat="1" applyFont="1" applyFill="1" applyBorder="1"/>
    <xf numFmtId="165" fontId="1" fillId="9" borderId="17" xfId="0" applyNumberFormat="1" applyFont="1" applyFill="1" applyBorder="1"/>
    <xf numFmtId="0" fontId="4" fillId="2" borderId="8" xfId="0" applyFont="1" applyFill="1" applyBorder="1"/>
    <xf numFmtId="0" fontId="1" fillId="0" borderId="0" xfId="0" applyFont="1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3" fontId="0" fillId="4" borderId="21" xfId="0" applyNumberFormat="1" applyFill="1" applyBorder="1"/>
    <xf numFmtId="3" fontId="0" fillId="4" borderId="21" xfId="0" applyNumberFormat="1" applyFill="1" applyBorder="1" applyAlignment="1">
      <alignment horizontal="center"/>
    </xf>
    <xf numFmtId="9" fontId="0" fillId="4" borderId="21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4" fontId="0" fillId="0" borderId="0" xfId="0" applyNumberFormat="1"/>
    <xf numFmtId="165" fontId="0" fillId="4" borderId="25" xfId="0" applyNumberFormat="1" applyFill="1" applyBorder="1"/>
    <xf numFmtId="165" fontId="0" fillId="4" borderId="3" xfId="0" applyNumberFormat="1" applyFill="1" applyBorder="1"/>
    <xf numFmtId="0" fontId="0" fillId="4" borderId="2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5" fontId="0" fillId="4" borderId="0" xfId="0" applyNumberFormat="1" applyFill="1" applyBorder="1"/>
    <xf numFmtId="165" fontId="0" fillId="4" borderId="13" xfId="0" applyNumberFormat="1" applyFill="1" applyBorder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0" fillId="0" borderId="12" xfId="0" applyBorder="1"/>
    <xf numFmtId="0" fontId="6" fillId="5" borderId="13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0" fillId="0" borderId="0" xfId="0" applyFont="1" applyAlignment="1">
      <alignment horizontal="center"/>
    </xf>
    <xf numFmtId="0" fontId="3" fillId="10" borderId="14" xfId="0" applyFont="1" applyFill="1" applyBorder="1"/>
    <xf numFmtId="0" fontId="3" fillId="10" borderId="16" xfId="0" applyFont="1" applyFill="1" applyBorder="1"/>
    <xf numFmtId="0" fontId="3" fillId="10" borderId="19" xfId="0" applyFont="1" applyFill="1" applyBorder="1"/>
    <xf numFmtId="0" fontId="3" fillId="12" borderId="14" xfId="0" applyFont="1" applyFill="1" applyBorder="1"/>
    <xf numFmtId="0" fontId="3" fillId="12" borderId="16" xfId="0" applyFont="1" applyFill="1" applyBorder="1"/>
    <xf numFmtId="0" fontId="3" fillId="12" borderId="19" xfId="0" applyFont="1" applyFill="1" applyBorder="1"/>
    <xf numFmtId="0" fontId="3" fillId="13" borderId="14" xfId="0" applyFont="1" applyFill="1" applyBorder="1"/>
    <xf numFmtId="0" fontId="3" fillId="13" borderId="16" xfId="0" applyFont="1" applyFill="1" applyBorder="1"/>
    <xf numFmtId="0" fontId="3" fillId="13" borderId="19" xfId="0" applyFont="1" applyFill="1" applyBorder="1"/>
    <xf numFmtId="0" fontId="3" fillId="14" borderId="14" xfId="0" applyFont="1" applyFill="1" applyBorder="1"/>
    <xf numFmtId="0" fontId="3" fillId="14" borderId="16" xfId="0" applyFont="1" applyFill="1" applyBorder="1"/>
    <xf numFmtId="0" fontId="3" fillId="14" borderId="19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8" borderId="29" xfId="0" applyFont="1" applyFill="1" applyBorder="1"/>
    <xf numFmtId="0" fontId="3" fillId="8" borderId="30" xfId="0" applyFont="1" applyFill="1" applyBorder="1"/>
    <xf numFmtId="0" fontId="3" fillId="8" borderId="31" xfId="0" applyFont="1" applyFill="1" applyBorder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center"/>
    </xf>
    <xf numFmtId="2" fontId="0" fillId="0" borderId="0" xfId="2" applyNumberFormat="1" applyFont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6" fontId="1" fillId="0" borderId="0" xfId="0" applyNumberFormat="1" applyFont="1" applyFill="1" applyBorder="1" applyAlignment="1"/>
    <xf numFmtId="1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66" fontId="1" fillId="0" borderId="13" xfId="0" applyNumberFormat="1" applyFont="1" applyFill="1" applyBorder="1" applyAlignment="1"/>
    <xf numFmtId="166" fontId="1" fillId="0" borderId="14" xfId="0" applyNumberFormat="1" applyFont="1" applyFill="1" applyBorder="1" applyAlignment="1"/>
    <xf numFmtId="1" fontId="0" fillId="0" borderId="15" xfId="0" applyNumberFormat="1" applyFill="1" applyBorder="1" applyAlignment="1">
      <alignment horizontal="center"/>
    </xf>
    <xf numFmtId="166" fontId="1" fillId="0" borderId="16" xfId="0" applyNumberFormat="1" applyFont="1" applyFill="1" applyBorder="1" applyAlignment="1"/>
    <xf numFmtId="1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166" fontId="1" fillId="0" borderId="18" xfId="0" applyNumberFormat="1" applyFont="1" applyFill="1" applyBorder="1" applyAlignment="1"/>
    <xf numFmtId="166" fontId="1" fillId="0" borderId="19" xfId="0" applyNumberFormat="1" applyFont="1" applyFill="1" applyBorder="1" applyAlignment="1"/>
    <xf numFmtId="0" fontId="0" fillId="15" borderId="2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65" fontId="0" fillId="15" borderId="3" xfId="0" applyNumberFormat="1" applyFill="1" applyBorder="1"/>
    <xf numFmtId="165" fontId="0" fillId="15" borderId="0" xfId="0" applyNumberFormat="1" applyFill="1" applyBorder="1"/>
    <xf numFmtId="0" fontId="0" fillId="15" borderId="4" xfId="0" applyFill="1" applyBorder="1" applyAlignment="1">
      <alignment horizontal="center"/>
    </xf>
    <xf numFmtId="3" fontId="0" fillId="15" borderId="2" xfId="0" applyNumberFormat="1" applyFill="1" applyBorder="1"/>
    <xf numFmtId="3" fontId="0" fillId="15" borderId="2" xfId="0" applyNumberFormat="1" applyFill="1" applyBorder="1" applyAlignment="1">
      <alignment horizontal="center"/>
    </xf>
    <xf numFmtId="9" fontId="0" fillId="15" borderId="2" xfId="0" applyNumberFormat="1" applyFill="1" applyBorder="1" applyAlignment="1">
      <alignment horizontal="center"/>
    </xf>
    <xf numFmtId="165" fontId="0" fillId="15" borderId="2" xfId="0" applyNumberFormat="1" applyFill="1" applyBorder="1" applyAlignment="1">
      <alignment horizontal="center"/>
    </xf>
    <xf numFmtId="2" fontId="0" fillId="15" borderId="0" xfId="0" applyNumberFormat="1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165" fontId="0" fillId="15" borderId="26" xfId="0" applyNumberFormat="1" applyFill="1" applyBorder="1"/>
    <xf numFmtId="165" fontId="0" fillId="15" borderId="18" xfId="0" applyNumberFormat="1" applyFill="1" applyBorder="1"/>
    <xf numFmtId="0" fontId="0" fillId="15" borderId="28" xfId="0" applyFill="1" applyBorder="1" applyAlignment="1">
      <alignment horizontal="center"/>
    </xf>
    <xf numFmtId="3" fontId="0" fillId="15" borderId="24" xfId="0" applyNumberFormat="1" applyFill="1" applyBorder="1"/>
    <xf numFmtId="9" fontId="0" fillId="15" borderId="24" xfId="0" applyNumberFormat="1" applyFill="1" applyBorder="1" applyAlignment="1">
      <alignment horizontal="center"/>
    </xf>
    <xf numFmtId="165" fontId="0" fillId="15" borderId="24" xfId="0" applyNumberFormat="1" applyFill="1" applyBorder="1" applyAlignment="1">
      <alignment horizontal="center"/>
    </xf>
    <xf numFmtId="0" fontId="3" fillId="3" borderId="33" xfId="0" applyNumberFormat="1" applyFont="1" applyFill="1" applyBorder="1" applyAlignment="1">
      <alignment horizontal="center"/>
    </xf>
    <xf numFmtId="0" fontId="0" fillId="4" borderId="25" xfId="0" applyNumberFormat="1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15" borderId="3" xfId="0" applyNumberFormat="1" applyFill="1" applyBorder="1" applyAlignment="1">
      <alignment horizontal="center"/>
    </xf>
    <xf numFmtId="0" fontId="0" fillId="15" borderId="26" xfId="0" applyNumberForma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15" borderId="2" xfId="0" applyNumberFormat="1" applyFill="1" applyBorder="1" applyAlignment="1">
      <alignment horizontal="center"/>
    </xf>
    <xf numFmtId="2" fontId="0" fillId="15" borderId="2" xfId="0" applyNumberForma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15" borderId="3" xfId="0" applyNumberForma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2" fontId="0" fillId="15" borderId="0" xfId="0" applyNumberFormat="1" applyFill="1" applyAlignment="1">
      <alignment horizontal="center"/>
    </xf>
    <xf numFmtId="1" fontId="1" fillId="0" borderId="0" xfId="0" applyNumberFormat="1" applyFont="1" applyFill="1" applyBorder="1" applyAlignment="1"/>
    <xf numFmtId="0" fontId="1" fillId="0" borderId="38" xfId="0" applyFont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5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3" xfId="0" applyBorder="1"/>
    <xf numFmtId="0" fontId="1" fillId="0" borderId="3" xfId="0" applyFont="1" applyBorder="1"/>
    <xf numFmtId="0" fontId="1" fillId="0" borderId="4" xfId="0" applyFont="1" applyBorder="1"/>
    <xf numFmtId="1" fontId="1" fillId="0" borderId="3" xfId="0" applyNumberFormat="1" applyFont="1" applyFill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3" fillId="0" borderId="36" xfId="0" applyFont="1" applyBorder="1"/>
    <xf numFmtId="0" fontId="3" fillId="0" borderId="38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3" fillId="0" borderId="32" xfId="0" applyFont="1" applyBorder="1"/>
    <xf numFmtId="0" fontId="1" fillId="0" borderId="1" xfId="0" applyFont="1" applyBorder="1" applyAlignment="1">
      <alignment horizontal="center"/>
    </xf>
    <xf numFmtId="0" fontId="1" fillId="0" borderId="35" xfId="0" applyFont="1" applyBorder="1"/>
    <xf numFmtId="165" fontId="1" fillId="0" borderId="1" xfId="0" applyNumberFormat="1" applyFont="1" applyBorder="1" applyAlignment="1">
      <alignment horizontal="center"/>
    </xf>
    <xf numFmtId="1" fontId="0" fillId="0" borderId="35" xfId="0" applyNumberFormat="1" applyBorder="1"/>
    <xf numFmtId="0" fontId="3" fillId="0" borderId="37" xfId="0" applyFont="1" applyBorder="1" applyAlignment="1">
      <alignment horizontal="center"/>
    </xf>
    <xf numFmtId="1" fontId="3" fillId="0" borderId="38" xfId="0" applyNumberFormat="1" applyFont="1" applyBorder="1"/>
    <xf numFmtId="0" fontId="3" fillId="0" borderId="36" xfId="0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left"/>
    </xf>
    <xf numFmtId="165" fontId="1" fillId="0" borderId="34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34" xfId="0" applyBorder="1"/>
    <xf numFmtId="1" fontId="3" fillId="0" borderId="4" xfId="0" applyNumberFormat="1" applyFont="1" applyFill="1" applyBorder="1" applyAlignment="1"/>
    <xf numFmtId="1" fontId="0" fillId="0" borderId="5" xfId="0" applyNumberFormat="1" applyBorder="1" applyAlignment="1">
      <alignment horizontal="left"/>
    </xf>
    <xf numFmtId="1" fontId="3" fillId="0" borderId="7" xfId="0" applyNumberFormat="1" applyFont="1" applyFill="1" applyBorder="1" applyAlignment="1"/>
    <xf numFmtId="0" fontId="3" fillId="0" borderId="32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166" fontId="1" fillId="0" borderId="39" xfId="0" applyNumberFormat="1" applyFont="1" applyFill="1" applyBorder="1" applyAlignment="1"/>
    <xf numFmtId="2" fontId="0" fillId="0" borderId="3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6" fontId="1" fillId="0" borderId="6" xfId="0" applyNumberFormat="1" applyFont="1" applyFill="1" applyBorder="1" applyAlignment="1"/>
    <xf numFmtId="2" fontId="0" fillId="0" borderId="7" xfId="0" applyNumberFormat="1" applyFill="1" applyBorder="1" applyAlignment="1">
      <alignment horizontal="center"/>
    </xf>
    <xf numFmtId="1" fontId="0" fillId="17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0" fontId="3" fillId="18" borderId="36" xfId="0" applyFont="1" applyFill="1" applyBorder="1"/>
    <xf numFmtId="0" fontId="3" fillId="18" borderId="38" xfId="0" applyFont="1" applyFill="1" applyBorder="1" applyAlignment="1">
      <alignment horizontal="center"/>
    </xf>
    <xf numFmtId="3" fontId="0" fillId="15" borderId="24" xfId="0" applyNumberFormat="1" applyFill="1" applyBorder="1" applyAlignment="1">
      <alignment horizontal="center"/>
    </xf>
    <xf numFmtId="10" fontId="3" fillId="0" borderId="32" xfId="1" applyNumberFormat="1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165" fontId="3" fillId="0" borderId="38" xfId="0" applyNumberFormat="1" applyFont="1" applyBorder="1" applyAlignment="1">
      <alignment horizontal="center"/>
    </xf>
    <xf numFmtId="165" fontId="1" fillId="0" borderId="39" xfId="0" applyNumberFormat="1" applyFont="1" applyBorder="1"/>
    <xf numFmtId="165" fontId="1" fillId="0" borderId="39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1" fontId="3" fillId="0" borderId="2" xfId="0" applyNumberFormat="1" applyFont="1" applyBorder="1" applyAlignment="1">
      <alignment horizontal="center"/>
    </xf>
    <xf numFmtId="166" fontId="16" fillId="16" borderId="2" xfId="0" applyNumberFormat="1" applyFont="1" applyFill="1" applyBorder="1"/>
    <xf numFmtId="166" fontId="16" fillId="16" borderId="35" xfId="0" applyNumberFormat="1" applyFont="1" applyFill="1" applyBorder="1"/>
    <xf numFmtId="165" fontId="1" fillId="0" borderId="1" xfId="0" applyNumberFormat="1" applyFont="1" applyBorder="1"/>
    <xf numFmtId="1" fontId="0" fillId="0" borderId="2" xfId="0" applyNumberFormat="1" applyBorder="1"/>
    <xf numFmtId="1" fontId="0" fillId="0" borderId="35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0" fillId="0" borderId="35" xfId="1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5" xfId="0" applyNumberFormat="1" applyBorder="1" applyAlignment="1">
      <alignment horizontal="center"/>
    </xf>
    <xf numFmtId="0" fontId="0" fillId="0" borderId="35" xfId="0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165" fontId="0" fillId="0" borderId="0" xfId="0" applyNumberForma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18" xfId="0" applyNumberFormat="1" applyBorder="1"/>
    <xf numFmtId="165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8" fillId="7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165" fontId="15" fillId="0" borderId="36" xfId="0" applyNumberFormat="1" applyFont="1" applyBorder="1" applyAlignment="1">
      <alignment horizontal="center"/>
    </xf>
    <xf numFmtId="165" fontId="15" fillId="0" borderId="38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0" fontId="1" fillId="8" borderId="12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1" fillId="12" borderId="29" xfId="0" applyFont="1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1" fillId="13" borderId="29" xfId="0" applyFont="1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75">
    <dxf>
      <numFmt numFmtId="0" formatCode="General"/>
      <alignment horizontal="center" vertical="bottom" textRotation="0" wrapText="0" indent="0" justifyLastLine="0" shrinkToFit="0" readingOrder="0"/>
    </dxf>
    <dxf>
      <numFmt numFmtId="167" formatCode="_-* #,##0.00\ [$€-40C]_-;\-* #,##0.00\ [$€-40C]_-;_-* &quot;-&quot;??\ [$€-40C]_-;_-@_-"/>
      <alignment horizontal="center" vertical="bottom" textRotation="0" wrapText="0" indent="0" justifyLastLine="0" shrinkToFit="0" readingOrder="0"/>
    </dxf>
    <dxf>
      <numFmt numFmtId="167" formatCode="_-* #,##0.00\ [$€-40C]_-;\-* #,##0.00\ [$€-40C]_-;_-* &quot;-&quot;??\ [$€-40C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4" formatCode="0.00%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"/>
      <fill>
        <patternFill patternType="solid">
          <fgColor theme="4" tint="0.59999389629810485"/>
          <bgColor theme="4" tint="0.59999389629810485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dd/mm/yy;@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6" formatCode="0.000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6" formatCode="0.00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13" formatCode="0%"/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5" formatCode="dd/mm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dd/mm/yy;@"/>
      <alignment horizontal="center" vertical="bottom" textRotation="0" wrapText="0" indent="0" justifyLastLine="0" shrinkToFit="0" readingOrder="0"/>
    </dxf>
    <dxf>
      <font>
        <b val="0"/>
      </font>
      <numFmt numFmtId="165" formatCode="dd/mm/yy;@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5" formatCode="dd/mm/yy;@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3" formatCode="0%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5" formatCode="dd/mm/yy;@"/>
      <fill>
        <patternFill patternType="solid">
          <fgColor indexed="64"/>
          <bgColor theme="5" tint="0.59999389629810485"/>
        </patternFill>
      </fill>
    </dxf>
    <dxf>
      <numFmt numFmtId="165" formatCode="dd/mm/yy;@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</border>
    </dxf>
    <dxf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Pyramide des ages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3002758799308705E-2"/>
          <c:y val="0.19232293437912501"/>
          <c:w val="0.9332546720500482"/>
          <c:h val="0.6149843248760571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Données!$E$205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Données!$C$206:$C$210</c:f>
              <c:strCache>
                <c:ptCount val="5"/>
                <c:pt idx="0">
                  <c:v>inferieur à 20 ans </c:v>
                </c:pt>
                <c:pt idx="1">
                  <c:v>de 20 ans à 30ans</c:v>
                </c:pt>
                <c:pt idx="2">
                  <c:v>de 30 ans à 45ans</c:v>
                </c:pt>
                <c:pt idx="3">
                  <c:v>de 45 ans à 50ans</c:v>
                </c:pt>
                <c:pt idx="4">
                  <c:v>superieur à 50 ans </c:v>
                </c:pt>
              </c:strCache>
            </c:strRef>
          </c:cat>
          <c:val>
            <c:numRef>
              <c:f>Données!$E$206:$E$210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C-FF4F-B00E-DC9312F5412E}"/>
            </c:ext>
          </c:extLst>
        </c:ser>
        <c:ser>
          <c:idx val="2"/>
          <c:order val="2"/>
          <c:tx>
            <c:strRef>
              <c:f>Données!$F$205</c:f>
              <c:strCache>
                <c:ptCount val="1"/>
                <c:pt idx="0">
                  <c:v>F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2.5831962069730024E-2"/>
                  <c:y val="-7.5568676379772727E-17"/>
                </c:manualLayout>
              </c:layout>
              <c:numFmt formatCode="General;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7C-FF4F-B00E-DC9312F5412E}"/>
                </c:ext>
              </c:extLst>
            </c:dLbl>
            <c:dLbl>
              <c:idx val="2"/>
              <c:layout>
                <c:manualLayout>
                  <c:x val="1.2916150535928473E-2"/>
                  <c:y val="4.1219754193946951E-3"/>
                </c:manualLayout>
              </c:layout>
              <c:tx>
                <c:rich>
                  <a:bodyPr/>
                  <a:lstStyle/>
                  <a:p>
                    <a:fld id="{55A72C9E-108D-460F-A4A4-48C0F13C2A6A}" type="VALUE">
                      <a:rPr lang="en-US" sz="110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C7C-FF4F-B00E-DC9312F5412E}"/>
                </c:ext>
              </c:extLst>
            </c:dLbl>
            <c:dLbl>
              <c:idx val="3"/>
              <c:layout>
                <c:manualLayout>
                  <c:x val="0.15068644540675852"/>
                  <c:y val="-7.5568676379772727E-17"/>
                </c:manualLayout>
              </c:layout>
              <c:tx>
                <c:rich>
                  <a:bodyPr/>
                  <a:lstStyle/>
                  <a:p>
                    <a:fld id="{C9432348-911E-4F06-959A-0B5ABA4A88DB}" type="VALUE">
                      <a:rPr lang="en-US" sz="140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C7C-FF4F-B00E-DC9312F5412E}"/>
                </c:ext>
              </c:extLst>
            </c:dLbl>
            <c:dLbl>
              <c:idx val="4"/>
              <c:layout>
                <c:manualLayout>
                  <c:x val="4.0900606610405912E-2"/>
                  <c:y val="0"/>
                </c:manualLayout>
              </c:layout>
              <c:tx>
                <c:rich>
                  <a:bodyPr/>
                  <a:lstStyle/>
                  <a:p>
                    <a:fld id="{24335B81-2B97-48FC-9475-735F1EDE64C6}" type="VALUE">
                      <a:rPr lang="en-US" sz="120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C7C-FF4F-B00E-DC9312F5412E}"/>
                </c:ext>
              </c:extLst>
            </c:dLbl>
            <c:numFmt formatCode="General;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1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Données!$C$206:$C$210</c:f>
              <c:strCache>
                <c:ptCount val="5"/>
                <c:pt idx="0">
                  <c:v>inferieur à 20 ans </c:v>
                </c:pt>
                <c:pt idx="1">
                  <c:v>de 20 ans à 30ans</c:v>
                </c:pt>
                <c:pt idx="2">
                  <c:v>de 30 ans à 45ans</c:v>
                </c:pt>
                <c:pt idx="3">
                  <c:v>de 45 ans à 50ans</c:v>
                </c:pt>
                <c:pt idx="4">
                  <c:v>superieur à 50 ans </c:v>
                </c:pt>
              </c:strCache>
            </c:strRef>
          </c:cat>
          <c:val>
            <c:numRef>
              <c:f>Données!$F$206:$F$210</c:f>
              <c:numCache>
                <c:formatCode>0</c:formatCode>
                <c:ptCount val="5"/>
                <c:pt idx="0">
                  <c:v>0</c:v>
                </c:pt>
                <c:pt idx="1">
                  <c:v>-7</c:v>
                </c:pt>
                <c:pt idx="2">
                  <c:v>-15</c:v>
                </c:pt>
                <c:pt idx="3">
                  <c:v>-1</c:v>
                </c:pt>
                <c:pt idx="4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7C-FF4F-B00E-DC9312F5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5047544"/>
        <c:axId val="615044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Données!$D$205</c15:sqref>
                        </c15:formulaRef>
                      </c:ext>
                    </c:extLst>
                    <c:strCache>
                      <c:ptCount val="1"/>
                      <c:pt idx="0">
                        <c:v>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Données!$C$206:$C$210</c15:sqref>
                        </c15:formulaRef>
                      </c:ext>
                    </c:extLst>
                    <c:strCache>
                      <c:ptCount val="5"/>
                      <c:pt idx="0">
                        <c:v>inferieur à 20 ans </c:v>
                      </c:pt>
                      <c:pt idx="1">
                        <c:v>de 20 ans à 30ans</c:v>
                      </c:pt>
                      <c:pt idx="2">
                        <c:v>de 30 ans à 45ans</c:v>
                      </c:pt>
                      <c:pt idx="3">
                        <c:v>de 45 ans à 50ans</c:v>
                      </c:pt>
                      <c:pt idx="4">
                        <c:v>superieur à 50 ans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Données!$D$206:$D$210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7</c:v>
                      </c:pt>
                      <c:pt idx="2">
                        <c:v>15</c:v>
                      </c:pt>
                      <c:pt idx="3">
                        <c:v>1</c:v>
                      </c:pt>
                      <c:pt idx="4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C7C-FF4F-B00E-DC9312F5412E}"/>
                  </c:ext>
                </c:extLst>
              </c15:ser>
            </c15:filteredBarSeries>
          </c:ext>
        </c:extLst>
      </c:barChart>
      <c:catAx>
        <c:axId val="615047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44408"/>
        <c:crosses val="autoZero"/>
        <c:auto val="1"/>
        <c:lblAlgn val="ctr"/>
        <c:lblOffset val="100"/>
        <c:noMultiLvlLbl val="0"/>
      </c:catAx>
      <c:valAx>
        <c:axId val="615044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4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Ancienneté / statut </a:t>
            </a:r>
          </a:p>
        </c:rich>
      </c:tx>
      <c:layout>
        <c:manualLayout>
          <c:xMode val="edge"/>
          <c:yMode val="edge"/>
          <c:x val="0.3459512248468941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Données!$D$266</c:f>
              <c:strCache>
                <c:ptCount val="1"/>
                <c:pt idx="0">
                  <c:v>Ouvrier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Données!$C$267:$C$272</c:f>
              <c:strCache>
                <c:ptCount val="6"/>
                <c:pt idx="0">
                  <c:v>de 0 ans à 5ans</c:v>
                </c:pt>
                <c:pt idx="1">
                  <c:v>de 5 ans à 10ans</c:v>
                </c:pt>
                <c:pt idx="2">
                  <c:v>de 10 ans à 20ans</c:v>
                </c:pt>
                <c:pt idx="3">
                  <c:v>de 20 ans à 30ans</c:v>
                </c:pt>
                <c:pt idx="4">
                  <c:v>de 30 ans à 40ans</c:v>
                </c:pt>
                <c:pt idx="5">
                  <c:v>superieur à 40 ans </c:v>
                </c:pt>
              </c:strCache>
            </c:strRef>
          </c:cat>
          <c:val>
            <c:numRef>
              <c:f>Données!$D$267:$D$272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B-C14A-B47A-912742E74F65}"/>
            </c:ext>
          </c:extLst>
        </c:ser>
        <c:ser>
          <c:idx val="1"/>
          <c:order val="1"/>
          <c:tx>
            <c:strRef>
              <c:f>Données!$E$266</c:f>
              <c:strCache>
                <c:ptCount val="1"/>
                <c:pt idx="0">
                  <c:v>Employé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Données!$C$267:$C$272</c:f>
              <c:strCache>
                <c:ptCount val="6"/>
                <c:pt idx="0">
                  <c:v>de 0 ans à 5ans</c:v>
                </c:pt>
                <c:pt idx="1">
                  <c:v>de 5 ans à 10ans</c:v>
                </c:pt>
                <c:pt idx="2">
                  <c:v>de 10 ans à 20ans</c:v>
                </c:pt>
                <c:pt idx="3">
                  <c:v>de 20 ans à 30ans</c:v>
                </c:pt>
                <c:pt idx="4">
                  <c:v>de 30 ans à 40ans</c:v>
                </c:pt>
                <c:pt idx="5">
                  <c:v>superieur à 40 ans </c:v>
                </c:pt>
              </c:strCache>
            </c:strRef>
          </c:cat>
          <c:val>
            <c:numRef>
              <c:f>Données!$E$267:$E$272</c:f>
              <c:numCache>
                <c:formatCode>0</c:formatCode>
                <c:ptCount val="6"/>
                <c:pt idx="0" formatCode="General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B-C14A-B47A-912742E74F65}"/>
            </c:ext>
          </c:extLst>
        </c:ser>
        <c:ser>
          <c:idx val="2"/>
          <c:order val="2"/>
          <c:tx>
            <c:strRef>
              <c:f>Données!$F$266</c:f>
              <c:strCache>
                <c:ptCount val="1"/>
                <c:pt idx="0">
                  <c:v>Cadre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Données!$C$267:$C$272</c:f>
              <c:strCache>
                <c:ptCount val="6"/>
                <c:pt idx="0">
                  <c:v>de 0 ans à 5ans</c:v>
                </c:pt>
                <c:pt idx="1">
                  <c:v>de 5 ans à 10ans</c:v>
                </c:pt>
                <c:pt idx="2">
                  <c:v>de 10 ans à 20ans</c:v>
                </c:pt>
                <c:pt idx="3">
                  <c:v>de 20 ans à 30ans</c:v>
                </c:pt>
                <c:pt idx="4">
                  <c:v>de 30 ans à 40ans</c:v>
                </c:pt>
                <c:pt idx="5">
                  <c:v>superieur à 40 ans </c:v>
                </c:pt>
              </c:strCache>
            </c:strRef>
          </c:cat>
          <c:val>
            <c:numRef>
              <c:f>Données!$F$267:$F$272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B-C14A-B47A-912742E74F65}"/>
            </c:ext>
          </c:extLst>
        </c:ser>
        <c:ser>
          <c:idx val="3"/>
          <c:order val="3"/>
          <c:tx>
            <c:strRef>
              <c:f>Données!$G$266</c:f>
              <c:strCache>
                <c:ptCount val="1"/>
                <c:pt idx="0">
                  <c:v>Directeur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Données!$C$267:$C$272</c:f>
              <c:strCache>
                <c:ptCount val="6"/>
                <c:pt idx="0">
                  <c:v>de 0 ans à 5ans</c:v>
                </c:pt>
                <c:pt idx="1">
                  <c:v>de 5 ans à 10ans</c:v>
                </c:pt>
                <c:pt idx="2">
                  <c:v>de 10 ans à 20ans</c:v>
                </c:pt>
                <c:pt idx="3">
                  <c:v>de 20 ans à 30ans</c:v>
                </c:pt>
                <c:pt idx="4">
                  <c:v>de 30 ans à 40ans</c:v>
                </c:pt>
                <c:pt idx="5">
                  <c:v>superieur à 40 ans </c:v>
                </c:pt>
              </c:strCache>
            </c:strRef>
          </c:cat>
          <c:val>
            <c:numRef>
              <c:f>Données!$G$267:$G$272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7B-C14A-B47A-912742E7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047152"/>
        <c:axId val="615056560"/>
        <c:axId val="0"/>
      </c:bar3DChart>
      <c:catAx>
        <c:axId val="61504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56560"/>
        <c:crosses val="autoZero"/>
        <c:auto val="1"/>
        <c:lblAlgn val="ctr"/>
        <c:lblOffset val="100"/>
        <c:noMultiLvlLbl val="0"/>
      </c:catAx>
      <c:valAx>
        <c:axId val="61505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4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Départ</a:t>
            </a:r>
            <a:r>
              <a:rPr lang="en-US" sz="1050" baseline="0"/>
              <a:t> / genre </a:t>
            </a:r>
            <a:endParaRPr lang="en-U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16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Données!$D$320</c:f>
              <c:strCache>
                <c:ptCount val="1"/>
                <c:pt idx="0">
                  <c:v>Nombre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953-3945-9F73-0D5B30D58E5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953-3945-9F73-0D5B30D58E55}"/>
              </c:ext>
            </c:extLst>
          </c:dPt>
          <c:dLbls>
            <c:dLbl>
              <c:idx val="0"/>
              <c:layout>
                <c:manualLayout>
                  <c:x val="1.1111111111111112E-2"/>
                  <c:y val="-0.180555555555555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3-3945-9F73-0D5B30D58E5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3-3945-9F73-0D5B30D58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Données!$C$321:$C$322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Données!$D$321:$D$322</c:f>
              <c:numCache>
                <c:formatCode>General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53-3945-9F73-0D5B30D58E5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Depart / motifs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487273169491518"/>
          <c:w val="1"/>
          <c:h val="0.48416190802272069"/>
        </c:manualLayout>
      </c:layout>
      <c:pie3DChart>
        <c:varyColors val="1"/>
        <c:ser>
          <c:idx val="0"/>
          <c:order val="0"/>
          <c:tx>
            <c:strRef>
              <c:f>Données!$D$329</c:f>
              <c:strCache>
                <c:ptCount val="1"/>
                <c:pt idx="0">
                  <c:v>Nombre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AC1-2B48-BAF7-CD4CB5315A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AC1-2B48-BAF7-CD4CB5315A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AC1-2B48-BAF7-CD4CB5315A2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AC1-2B48-BAF7-CD4CB5315A2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AC1-2B48-BAF7-CD4CB5315A2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AC1-2B48-BAF7-CD4CB5315A2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DAC1-2B48-BAF7-CD4CB5315A20}"/>
              </c:ext>
            </c:extLst>
          </c:dPt>
          <c:dLbls>
            <c:dLbl>
              <c:idx val="0"/>
              <c:layout>
                <c:manualLayout>
                  <c:x val="6.483048993875766E-2"/>
                  <c:y val="3.81700204141149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C1-2B48-BAF7-CD4CB5315A20}"/>
                </c:ext>
              </c:extLst>
            </c:dLbl>
            <c:dLbl>
              <c:idx val="1"/>
              <c:layout>
                <c:manualLayout>
                  <c:x val="5.2287182852143482E-2"/>
                  <c:y val="-8.24208953047535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C1-2B48-BAF7-CD4CB5315A20}"/>
                </c:ext>
              </c:extLst>
            </c:dLbl>
            <c:dLbl>
              <c:idx val="2"/>
              <c:layout>
                <c:manualLayout>
                  <c:x val="-5.6337707786526636E-2"/>
                  <c:y val="-4.6396908719743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C1-2B48-BAF7-CD4CB5315A2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C1-2B48-BAF7-CD4CB5315A20}"/>
                </c:ext>
              </c:extLst>
            </c:dLbl>
            <c:dLbl>
              <c:idx val="4"/>
              <c:layout>
                <c:manualLayout>
                  <c:x val="-4.6861471265885926E-2"/>
                  <c:y val="2.22330320148968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3774966246955"/>
                      <c:h val="0.214875372023050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AC1-2B48-BAF7-CD4CB5315A2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C1-2B48-BAF7-CD4CB5315A20}"/>
                </c:ext>
              </c:extLst>
            </c:dLbl>
            <c:dLbl>
              <c:idx val="6"/>
              <c:layout>
                <c:manualLayout>
                  <c:x val="-7.5211067366579176E-2"/>
                  <c:y val="-1.37252114319043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C1-2B48-BAF7-CD4CB5315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Données!$C$330:$C$336</c:f>
              <c:strCache>
                <c:ptCount val="7"/>
                <c:pt idx="0">
                  <c:v>Décès</c:v>
                </c:pt>
                <c:pt idx="1">
                  <c:v>Démission</c:v>
                </c:pt>
                <c:pt idx="2">
                  <c:v>Retraite</c:v>
                </c:pt>
                <c:pt idx="3">
                  <c:v>Licenciement économique</c:v>
                </c:pt>
                <c:pt idx="4">
                  <c:v>Licenciement non éco</c:v>
                </c:pt>
                <c:pt idx="5">
                  <c:v>Fin de contrat</c:v>
                </c:pt>
                <c:pt idx="6">
                  <c:v>Autres</c:v>
                </c:pt>
              </c:strCache>
            </c:strRef>
          </c:cat>
          <c:val>
            <c:numRef>
              <c:f>Données!$D$330:$D$336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C1-2B48-BAF7-CD4CB5315A2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950131233595798E-2"/>
          <c:y val="0.77256780402449698"/>
          <c:w val="0.60199147022609256"/>
          <c:h val="0.22743250759101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Départ / tranche d'age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Données!$D$347</c:f>
              <c:strCache>
                <c:ptCount val="1"/>
                <c:pt idx="0">
                  <c:v>Nombre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Données!$C$348:$C$352</c:f>
              <c:strCache>
                <c:ptCount val="5"/>
                <c:pt idx="0">
                  <c:v>inferieur à 20 ans </c:v>
                </c:pt>
                <c:pt idx="1">
                  <c:v>de 20 ans à 30ans</c:v>
                </c:pt>
                <c:pt idx="2">
                  <c:v>de 30 ans à 45ans</c:v>
                </c:pt>
                <c:pt idx="3">
                  <c:v>de 45 ans à 50ans</c:v>
                </c:pt>
                <c:pt idx="4">
                  <c:v>superieur à 50 ans </c:v>
                </c:pt>
              </c:strCache>
            </c:strRef>
          </c:cat>
          <c:val>
            <c:numRef>
              <c:f>Données!$D$348:$D$352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9-C34A-8177-01A7ACED4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057344"/>
        <c:axId val="627575568"/>
        <c:axId val="0"/>
      </c:bar3DChart>
      <c:catAx>
        <c:axId val="61505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575568"/>
        <c:crosses val="autoZero"/>
        <c:auto val="1"/>
        <c:lblAlgn val="ctr"/>
        <c:lblOffset val="100"/>
        <c:noMultiLvlLbl val="0"/>
      </c:catAx>
      <c:valAx>
        <c:axId val="62757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5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Absence en</a:t>
            </a:r>
            <a:r>
              <a:rPr lang="en-US" sz="1200" baseline="0"/>
              <a:t> % par statut </a:t>
            </a:r>
            <a:endParaRPr lang="en-US" sz="1200"/>
          </a:p>
        </c:rich>
      </c:tx>
      <c:layout>
        <c:manualLayout>
          <c:xMode val="edge"/>
          <c:yMode val="edge"/>
          <c:x val="0.2594582239720035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554533576190855"/>
          <c:y val="0.31640617347438532"/>
          <c:w val="0.75277777777777777"/>
          <c:h val="0.62641841644794405"/>
        </c:manualLayout>
      </c:layout>
      <c:pie3DChart>
        <c:varyColors val="1"/>
        <c:ser>
          <c:idx val="0"/>
          <c:order val="0"/>
          <c:tx>
            <c:strRef>
              <c:f>Données!$F$373</c:f>
              <c:strCache>
                <c:ptCount val="1"/>
                <c:pt idx="0">
                  <c:v>en %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85D-6145-8C50-8BED2C1FBB3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85D-6145-8C50-8BED2C1FBB3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85D-6145-8C50-8BED2C1FBB3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85D-6145-8C50-8BED2C1FBB30}"/>
              </c:ext>
            </c:extLst>
          </c:dPt>
          <c:dLbls>
            <c:dLbl>
              <c:idx val="0"/>
              <c:layout>
                <c:manualLayout>
                  <c:x val="-5.5555555555556572E-3"/>
                  <c:y val="0.19907407407407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5D-6145-8C50-8BED2C1FBB30}"/>
                </c:ext>
              </c:extLst>
            </c:dLbl>
            <c:dLbl>
              <c:idx val="1"/>
              <c:layout>
                <c:manualLayout>
                  <c:x val="1.6666666666666653E-2"/>
                  <c:y val="0.189814814814814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D-6145-8C50-8BED2C1FBB30}"/>
                </c:ext>
              </c:extLst>
            </c:dLbl>
            <c:dLbl>
              <c:idx val="2"/>
              <c:layout>
                <c:manualLayout>
                  <c:x val="-0.12500000000000003"/>
                  <c:y val="-2.121889068003332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5D-6145-8C50-8BED2C1FBB30}"/>
                </c:ext>
              </c:extLst>
            </c:dLbl>
            <c:dLbl>
              <c:idx val="3"/>
              <c:layout>
                <c:manualLayout>
                  <c:x val="0.26666666666666666"/>
                  <c:y val="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D-6145-8C50-8BED2C1FBB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Données!$C$374:$C$377</c:f>
              <c:strCache>
                <c:ptCount val="4"/>
                <c:pt idx="0">
                  <c:v>Ouvrier</c:v>
                </c:pt>
                <c:pt idx="1">
                  <c:v>Employé</c:v>
                </c:pt>
                <c:pt idx="2">
                  <c:v>Cadre</c:v>
                </c:pt>
                <c:pt idx="3">
                  <c:v>Directeur</c:v>
                </c:pt>
              </c:strCache>
            </c:strRef>
          </c:cat>
          <c:val>
            <c:numRef>
              <c:f>Données!$F$374:$F$377</c:f>
              <c:numCache>
                <c:formatCode>0.00%</c:formatCode>
                <c:ptCount val="4"/>
                <c:pt idx="0">
                  <c:v>3.6904761904761905E-2</c:v>
                </c:pt>
                <c:pt idx="1">
                  <c:v>2.5000000000000001E-2</c:v>
                </c:pt>
                <c:pt idx="2">
                  <c:v>6.1507936507936506E-3</c:v>
                </c:pt>
                <c:pt idx="3">
                  <c:v>2.7777777777777779E-3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5D-6145-8C50-8BED2C1FBB3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Masse salariale /genre</a:t>
            </a:r>
          </a:p>
        </c:rich>
      </c:tx>
      <c:layout>
        <c:manualLayout>
          <c:xMode val="edge"/>
          <c:yMode val="edge"/>
          <c:x val="0.26005347784819954"/>
          <c:y val="4.5026413132112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5179214106614498"/>
          <c:y val="0.32870758830967772"/>
          <c:w val="0.35012031314799508"/>
          <c:h val="0.6262659985582093"/>
        </c:manualLayout>
      </c:layout>
      <c:doughnutChart>
        <c:varyColors val="1"/>
        <c:ser>
          <c:idx val="0"/>
          <c:order val="0"/>
          <c:tx>
            <c:strRef>
              <c:f>Données!$D$388</c:f>
              <c:strCache>
                <c:ptCount val="1"/>
                <c:pt idx="0">
                  <c:v>Masse salariale 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70-BF41-A815-92EAEF22496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70-BF41-A815-92EAEF224969}"/>
              </c:ext>
            </c:extLst>
          </c:dPt>
          <c:dLbls>
            <c:dLbl>
              <c:idx val="0"/>
              <c:layout>
                <c:manualLayout>
                  <c:x val="0.16111111111111112"/>
                  <c:y val="-9.7222222222222224E-2"/>
                </c:manualLayout>
              </c:layout>
              <c:tx>
                <c:rich>
                  <a:bodyPr/>
                  <a:lstStyle/>
                  <a:p>
                    <a:fld id="{2A8B17A6-5819-499D-B7C1-E7676B3919B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713A4496-A757-4198-ABED-621D27F30C41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[POURCENTAGE]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470-BF41-A815-92EAEF224969}"/>
                </c:ext>
              </c:extLst>
            </c:dLbl>
            <c:dLbl>
              <c:idx val="1"/>
              <c:layout>
                <c:manualLayout>
                  <c:x val="-0.24011858692319463"/>
                  <c:y val="-0.14814812626304413"/>
                </c:manualLayout>
              </c:layout>
              <c:tx>
                <c:rich>
                  <a:bodyPr/>
                  <a:lstStyle/>
                  <a:p>
                    <a:fld id="{7CA1B57E-514F-4664-BAA8-21A4F69415B6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7433D1A3-641A-4CAE-A6FC-157D404B41A8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[POURCENTAGE]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470-BF41-A815-92EAEF224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Données!$C$389:$C$390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Données!$D$389:$D$390</c:f>
              <c:numCache>
                <c:formatCode>_-* #,##0.00\ [$€-40C]_-;\-* #,##0.00\ [$€-40C]_-;_-* "-"??\ [$€-40C]_-;_-@_-</c:formatCode>
                <c:ptCount val="2"/>
                <c:pt idx="0">
                  <c:v>1115514</c:v>
                </c:pt>
                <c:pt idx="1">
                  <c:v>1589179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0-BF41-A815-92EAEF2249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Masse salariale /Statut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Données!$D$395</c:f>
              <c:strCache>
                <c:ptCount val="1"/>
                <c:pt idx="0">
                  <c:v>Masse salariale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Données!$C$396:$C$399</c:f>
              <c:strCache>
                <c:ptCount val="4"/>
                <c:pt idx="0">
                  <c:v>Ouvrier</c:v>
                </c:pt>
                <c:pt idx="1">
                  <c:v>Employé</c:v>
                </c:pt>
                <c:pt idx="2">
                  <c:v>Cadre</c:v>
                </c:pt>
                <c:pt idx="3">
                  <c:v>Directeur</c:v>
                </c:pt>
              </c:strCache>
            </c:strRef>
          </c:cat>
          <c:val>
            <c:numRef>
              <c:f>Données!$D$396:$D$399</c:f>
              <c:numCache>
                <c:formatCode>_-* #,##0.00\ [$€-40C]_-;\-* #,##0.00\ [$€-40C]_-;_-* "-"??\ [$€-40C]_-;_-@_-</c:formatCode>
                <c:ptCount val="4"/>
                <c:pt idx="0">
                  <c:v>895423</c:v>
                </c:pt>
                <c:pt idx="1">
                  <c:v>614380</c:v>
                </c:pt>
                <c:pt idx="2">
                  <c:v>711056</c:v>
                </c:pt>
                <c:pt idx="3">
                  <c:v>483834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7-0D4C-8FE1-82A304117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7576352"/>
        <c:axId val="627578704"/>
      </c:barChart>
      <c:catAx>
        <c:axId val="62757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578704"/>
        <c:crosses val="autoZero"/>
        <c:auto val="1"/>
        <c:lblAlgn val="ctr"/>
        <c:lblOffset val="100"/>
        <c:noMultiLvlLbl val="0"/>
      </c:catAx>
      <c:valAx>
        <c:axId val="62757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[$€-40C]_-;\-* #,##0.00\ [$€-40C]_-;_-* &quot;-&quot;??\ [$€-40C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5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Effectifs par statut</a:t>
            </a:r>
          </a:p>
        </c:rich>
      </c:tx>
      <c:layout>
        <c:manualLayout>
          <c:xMode val="edge"/>
          <c:yMode val="edge"/>
          <c:x val="0.3615926132146382"/>
          <c:y val="6.4014613477747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Données!$D$122</c:f>
              <c:strCache>
                <c:ptCount val="1"/>
                <c:pt idx="0">
                  <c:v>Nombre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Données!$C$123:$C$126</c:f>
              <c:strCache>
                <c:ptCount val="4"/>
                <c:pt idx="0">
                  <c:v>Ouvrier</c:v>
                </c:pt>
                <c:pt idx="1">
                  <c:v>Employé</c:v>
                </c:pt>
                <c:pt idx="2">
                  <c:v>Cadre</c:v>
                </c:pt>
                <c:pt idx="3">
                  <c:v>Directeur</c:v>
                </c:pt>
              </c:strCache>
            </c:strRef>
          </c:cat>
          <c:val>
            <c:numRef>
              <c:f>Données!$D$123:$D$126</c:f>
              <c:numCache>
                <c:formatCode>General</c:formatCode>
                <c:ptCount val="4"/>
                <c:pt idx="0">
                  <c:v>28</c:v>
                </c:pt>
                <c:pt idx="1">
                  <c:v>19</c:v>
                </c:pt>
                <c:pt idx="2">
                  <c:v>14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8-B149-A598-51238C05C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048328"/>
        <c:axId val="615055384"/>
        <c:axId val="0"/>
      </c:bar3DChart>
      <c:catAx>
        <c:axId val="61504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55384"/>
        <c:crosses val="autoZero"/>
        <c:auto val="1"/>
        <c:lblAlgn val="ctr"/>
        <c:lblOffset val="100"/>
        <c:noMultiLvlLbl val="0"/>
      </c:catAx>
      <c:valAx>
        <c:axId val="61505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4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effectifs</a:t>
            </a:r>
            <a:r>
              <a:rPr lang="en-US" sz="1200" b="0" baseline="0"/>
              <a:t> par genre</a:t>
            </a:r>
            <a:endParaRPr lang="en-US" sz="12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Données!$D$109</c:f>
              <c:strCache>
                <c:ptCount val="1"/>
                <c:pt idx="0">
                  <c:v>Nombre</c:v>
                </c:pt>
              </c:strCache>
            </c:strRef>
          </c:tx>
          <c:explosion val="9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1E3-2B4E-87F8-532471E95A0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1E3-2B4E-87F8-532471E95A0E}"/>
              </c:ext>
            </c:extLst>
          </c:dPt>
          <c:dLbls>
            <c:dLbl>
              <c:idx val="0"/>
              <c:layout>
                <c:manualLayout>
                  <c:x val="2.9589374044169878E-2"/>
                  <c:y val="2.5967137112910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94445336699117"/>
                      <c:h val="0.255294053730066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3-2B4E-87F8-532471E95A0E}"/>
                </c:ext>
              </c:extLst>
            </c:dLbl>
            <c:dLbl>
              <c:idx val="1"/>
              <c:layout>
                <c:manualLayout>
                  <c:x val="-1.1835749617668027E-2"/>
                  <c:y val="-0.200317914871020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94445336699117"/>
                      <c:h val="0.218198143568766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3-2B4E-87F8-532471E95A0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Données!$C$110:$C$111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Données!$D$110:$D$111</c:f>
              <c:numCache>
                <c:formatCode>General</c:formatCode>
                <c:ptCount val="2"/>
                <c:pt idx="0">
                  <c:v>29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E3-2B4E-87F8-532471E95A0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effectifs</a:t>
            </a:r>
            <a:r>
              <a:rPr lang="fr-FR" baseline="0"/>
              <a:t> par genre / statut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Données!$D$137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Données!$C$138:$C$141</c:f>
              <c:strCache>
                <c:ptCount val="4"/>
                <c:pt idx="0">
                  <c:v>Ouvrier</c:v>
                </c:pt>
                <c:pt idx="1">
                  <c:v>Employé</c:v>
                </c:pt>
                <c:pt idx="2">
                  <c:v>Cadre</c:v>
                </c:pt>
                <c:pt idx="3">
                  <c:v>Directeur</c:v>
                </c:pt>
              </c:strCache>
            </c:strRef>
          </c:cat>
          <c:val>
            <c:numRef>
              <c:f>Données!$D$138:$D$141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A-7649-8227-D9EE96DAC4BB}"/>
            </c:ext>
          </c:extLst>
        </c:ser>
        <c:ser>
          <c:idx val="1"/>
          <c:order val="1"/>
          <c:tx>
            <c:strRef>
              <c:f>Données!$E$137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Données!$C$138:$C$141</c:f>
              <c:strCache>
                <c:ptCount val="4"/>
                <c:pt idx="0">
                  <c:v>Ouvrier</c:v>
                </c:pt>
                <c:pt idx="1">
                  <c:v>Employé</c:v>
                </c:pt>
                <c:pt idx="2">
                  <c:v>Cadre</c:v>
                </c:pt>
                <c:pt idx="3">
                  <c:v>Directeur</c:v>
                </c:pt>
              </c:strCache>
            </c:strRef>
          </c:cat>
          <c:val>
            <c:numRef>
              <c:f>Données!$E$138:$E$141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A-7649-8227-D9EE96DAC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050288"/>
        <c:axId val="615044016"/>
        <c:axId val="0"/>
      </c:bar3DChart>
      <c:catAx>
        <c:axId val="61505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44016"/>
        <c:crosses val="autoZero"/>
        <c:auto val="1"/>
        <c:lblAlgn val="ctr"/>
        <c:lblOffset val="100"/>
        <c:noMultiLvlLbl val="0"/>
      </c:catAx>
      <c:valAx>
        <c:axId val="61504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5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</a:t>
            </a:r>
            <a:r>
              <a:rPr lang="fr-FR" baseline="0"/>
              <a:t> Ages des femmes /statut </a:t>
            </a:r>
            <a:endParaRPr lang="fr-FR"/>
          </a:p>
        </c:rich>
      </c:tx>
      <c:layout>
        <c:manualLayout>
          <c:xMode val="edge"/>
          <c:yMode val="edge"/>
          <c:x val="0.1354862204724409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Données!$D$152</c:f>
              <c:strCache>
                <c:ptCount val="1"/>
                <c:pt idx="0">
                  <c:v>inferieur à 20 ans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(Données!$E$150:$E$151,Données!$G$150:$G$151,Données!$I$150:$I$151,Données!$K$150:$K$151)</c:f>
              <c:multiLvlStrCache>
                <c:ptCount val="4"/>
                <c:lvl>
                  <c:pt idx="0">
                    <c:v>F</c:v>
                  </c:pt>
                  <c:pt idx="1">
                    <c:v>F</c:v>
                  </c:pt>
                  <c:pt idx="2">
                    <c:v>F</c:v>
                  </c:pt>
                  <c:pt idx="3">
                    <c:v>F</c:v>
                  </c:pt>
                </c:lvl>
                <c:lvl>
                  <c:pt idx="0">
                    <c:v>Ouvrier</c:v>
                  </c:pt>
                  <c:pt idx="1">
                    <c:v>Employé</c:v>
                  </c:pt>
                  <c:pt idx="2">
                    <c:v>Cadre</c:v>
                  </c:pt>
                  <c:pt idx="3">
                    <c:v>Directeur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Données!$E$152:$L$152</c15:sqref>
                  </c15:fullRef>
                </c:ext>
              </c:extLst>
              <c:f>(Données!$E$152,Données!$G$152,Données!$I$152,Données!$K$152)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F-774A-AC46-2C8D262D1691}"/>
            </c:ext>
          </c:extLst>
        </c:ser>
        <c:ser>
          <c:idx val="1"/>
          <c:order val="1"/>
          <c:tx>
            <c:strRef>
              <c:f>Données!$D$153</c:f>
              <c:strCache>
                <c:ptCount val="1"/>
                <c:pt idx="0">
                  <c:v>de 20 ans à 30ans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(Données!$E$150:$E$151,Données!$G$150:$G$151,Données!$I$150:$I$151,Données!$K$150:$K$151)</c:f>
              <c:multiLvlStrCache>
                <c:ptCount val="4"/>
                <c:lvl>
                  <c:pt idx="0">
                    <c:v>F</c:v>
                  </c:pt>
                  <c:pt idx="1">
                    <c:v>F</c:v>
                  </c:pt>
                  <c:pt idx="2">
                    <c:v>F</c:v>
                  </c:pt>
                  <c:pt idx="3">
                    <c:v>F</c:v>
                  </c:pt>
                </c:lvl>
                <c:lvl>
                  <c:pt idx="0">
                    <c:v>Ouvrier</c:v>
                  </c:pt>
                  <c:pt idx="1">
                    <c:v>Employé</c:v>
                  </c:pt>
                  <c:pt idx="2">
                    <c:v>Cadre</c:v>
                  </c:pt>
                  <c:pt idx="3">
                    <c:v>Directeur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Données!$E$153:$L$153</c15:sqref>
                  </c15:fullRef>
                </c:ext>
              </c:extLst>
              <c:f>(Données!$E$153,Données!$G$153,Données!$I$153,Données!$K$153)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F-774A-AC46-2C8D262D1691}"/>
            </c:ext>
          </c:extLst>
        </c:ser>
        <c:ser>
          <c:idx val="2"/>
          <c:order val="2"/>
          <c:tx>
            <c:strRef>
              <c:f>Données!$D$154</c:f>
              <c:strCache>
                <c:ptCount val="1"/>
                <c:pt idx="0">
                  <c:v>de 30 ans à 45ans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(Données!$E$150:$E$151,Données!$G$150:$G$151,Données!$I$150:$I$151,Données!$K$150:$K$151)</c:f>
              <c:multiLvlStrCache>
                <c:ptCount val="4"/>
                <c:lvl>
                  <c:pt idx="0">
                    <c:v>F</c:v>
                  </c:pt>
                  <c:pt idx="1">
                    <c:v>F</c:v>
                  </c:pt>
                  <c:pt idx="2">
                    <c:v>F</c:v>
                  </c:pt>
                  <c:pt idx="3">
                    <c:v>F</c:v>
                  </c:pt>
                </c:lvl>
                <c:lvl>
                  <c:pt idx="0">
                    <c:v>Ouvrier</c:v>
                  </c:pt>
                  <c:pt idx="1">
                    <c:v>Employé</c:v>
                  </c:pt>
                  <c:pt idx="2">
                    <c:v>Cadre</c:v>
                  </c:pt>
                  <c:pt idx="3">
                    <c:v>Directeur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Données!$E$154:$L$154</c15:sqref>
                  </c15:fullRef>
                </c:ext>
              </c:extLst>
              <c:f>(Données!$E$154,Données!$G$154,Données!$I$154,Données!$K$154)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9F-774A-AC46-2C8D262D1691}"/>
            </c:ext>
          </c:extLst>
        </c:ser>
        <c:ser>
          <c:idx val="3"/>
          <c:order val="3"/>
          <c:tx>
            <c:strRef>
              <c:f>Données!$D$155</c:f>
              <c:strCache>
                <c:ptCount val="1"/>
                <c:pt idx="0">
                  <c:v>de 45 ans à 50ans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(Données!$E$150:$E$151,Données!$G$150:$G$151,Données!$I$150:$I$151,Données!$K$150:$K$151)</c:f>
              <c:multiLvlStrCache>
                <c:ptCount val="4"/>
                <c:lvl>
                  <c:pt idx="0">
                    <c:v>F</c:v>
                  </c:pt>
                  <c:pt idx="1">
                    <c:v>F</c:v>
                  </c:pt>
                  <c:pt idx="2">
                    <c:v>F</c:v>
                  </c:pt>
                  <c:pt idx="3">
                    <c:v>F</c:v>
                  </c:pt>
                </c:lvl>
                <c:lvl>
                  <c:pt idx="0">
                    <c:v>Ouvrier</c:v>
                  </c:pt>
                  <c:pt idx="1">
                    <c:v>Employé</c:v>
                  </c:pt>
                  <c:pt idx="2">
                    <c:v>Cadre</c:v>
                  </c:pt>
                  <c:pt idx="3">
                    <c:v>Directeur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Données!$E$155:$L$155</c15:sqref>
                  </c15:fullRef>
                </c:ext>
              </c:extLst>
              <c:f>(Données!$E$155,Données!$G$155,Données!$I$155,Données!$K$155)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9F-774A-AC46-2C8D262D1691}"/>
            </c:ext>
          </c:extLst>
        </c:ser>
        <c:ser>
          <c:idx val="4"/>
          <c:order val="4"/>
          <c:tx>
            <c:strRef>
              <c:f>Données!$D$156</c:f>
              <c:strCache>
                <c:ptCount val="1"/>
                <c:pt idx="0">
                  <c:v>superieur à 50 ans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(Données!$E$150:$E$151,Données!$G$150:$G$151,Données!$I$150:$I$151,Données!$K$150:$K$151)</c:f>
              <c:multiLvlStrCache>
                <c:ptCount val="4"/>
                <c:lvl>
                  <c:pt idx="0">
                    <c:v>F</c:v>
                  </c:pt>
                  <c:pt idx="1">
                    <c:v>F</c:v>
                  </c:pt>
                  <c:pt idx="2">
                    <c:v>F</c:v>
                  </c:pt>
                  <c:pt idx="3">
                    <c:v>F</c:v>
                  </c:pt>
                </c:lvl>
                <c:lvl>
                  <c:pt idx="0">
                    <c:v>Ouvrier</c:v>
                  </c:pt>
                  <c:pt idx="1">
                    <c:v>Employé</c:v>
                  </c:pt>
                  <c:pt idx="2">
                    <c:v>Cadre</c:v>
                  </c:pt>
                  <c:pt idx="3">
                    <c:v>Directeur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Données!$E$156:$L$156</c15:sqref>
                  </c15:fullRef>
                </c:ext>
              </c:extLst>
              <c:f>(Données!$E$156,Données!$G$156,Données!$I$156,Données!$K$156)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9F-774A-AC46-2C8D262D1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051072"/>
        <c:axId val="615051464"/>
        <c:axId val="0"/>
      </c:bar3DChart>
      <c:catAx>
        <c:axId val="6150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51464"/>
        <c:crosses val="autoZero"/>
        <c:auto val="1"/>
        <c:lblAlgn val="ctr"/>
        <c:lblOffset val="100"/>
        <c:noMultiLvlLbl val="0"/>
      </c:catAx>
      <c:valAx>
        <c:axId val="6150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Repartition des Ages des hommes /statut 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1665555555555555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Données!$D$152</c:f>
              <c:strCache>
                <c:ptCount val="1"/>
                <c:pt idx="0">
                  <c:v>inferieur à 20 ans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(Données!$F$150:$F$151,Données!$H$150:$H$151,Données!$J$150:$J$151,Données!$L$150:$L$151)</c:f>
              <c:multiLvlStrCache>
                <c:ptCount val="4"/>
                <c:lvl>
                  <c:pt idx="0">
                    <c:v>M</c:v>
                  </c:pt>
                  <c:pt idx="1">
                    <c:v>M</c:v>
                  </c:pt>
                  <c:pt idx="2">
                    <c:v>M</c:v>
                  </c:pt>
                  <c:pt idx="3">
                    <c:v>M</c:v>
                  </c:pt>
                </c:lvl>
                <c:lvl>
                  <c:pt idx="0">
                    <c:v>Ouvrier </c:v>
                  </c:pt>
                  <c:pt idx="1">
                    <c:v>Employé </c:v>
                  </c:pt>
                  <c:pt idx="2">
                    <c:v>Cadre </c:v>
                  </c:pt>
                  <c:pt idx="3">
                    <c:v>Directeur 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Données!$E$152:$L$152</c15:sqref>
                  </c15:fullRef>
                </c:ext>
              </c:extLst>
              <c:f>(Données!$F$152,Données!$H$152,Données!$J$152,Données!$L$152)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6-7641-9B86-BC5DAD6B3B0E}"/>
            </c:ext>
          </c:extLst>
        </c:ser>
        <c:ser>
          <c:idx val="1"/>
          <c:order val="1"/>
          <c:tx>
            <c:strRef>
              <c:f>Données!$D$153</c:f>
              <c:strCache>
                <c:ptCount val="1"/>
                <c:pt idx="0">
                  <c:v>de 20 ans à 30ans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(Données!$F$150:$F$151,Données!$H$150:$H$151,Données!$J$150:$J$151,Données!$L$150:$L$151)</c:f>
              <c:multiLvlStrCache>
                <c:ptCount val="4"/>
                <c:lvl>
                  <c:pt idx="0">
                    <c:v>M</c:v>
                  </c:pt>
                  <c:pt idx="1">
                    <c:v>M</c:v>
                  </c:pt>
                  <c:pt idx="2">
                    <c:v>M</c:v>
                  </c:pt>
                  <c:pt idx="3">
                    <c:v>M</c:v>
                  </c:pt>
                </c:lvl>
                <c:lvl>
                  <c:pt idx="0">
                    <c:v>Ouvrier </c:v>
                  </c:pt>
                  <c:pt idx="1">
                    <c:v>Employé </c:v>
                  </c:pt>
                  <c:pt idx="2">
                    <c:v>Cadre </c:v>
                  </c:pt>
                  <c:pt idx="3">
                    <c:v>Directeur 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Données!$E$153:$L$153</c15:sqref>
                  </c15:fullRef>
                </c:ext>
              </c:extLst>
              <c:f>(Données!$F$153,Données!$H$153,Données!$J$153,Données!$L$153)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76-7641-9B86-BC5DAD6B3B0E}"/>
            </c:ext>
          </c:extLst>
        </c:ser>
        <c:ser>
          <c:idx val="2"/>
          <c:order val="2"/>
          <c:tx>
            <c:strRef>
              <c:f>Données!$D$154</c:f>
              <c:strCache>
                <c:ptCount val="1"/>
                <c:pt idx="0">
                  <c:v>de 30 ans à 45ans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(Données!$F$150:$F$151,Données!$H$150:$H$151,Données!$J$150:$J$151,Données!$L$150:$L$151)</c:f>
              <c:multiLvlStrCache>
                <c:ptCount val="4"/>
                <c:lvl>
                  <c:pt idx="0">
                    <c:v>M</c:v>
                  </c:pt>
                  <c:pt idx="1">
                    <c:v>M</c:v>
                  </c:pt>
                  <c:pt idx="2">
                    <c:v>M</c:v>
                  </c:pt>
                  <c:pt idx="3">
                    <c:v>M</c:v>
                  </c:pt>
                </c:lvl>
                <c:lvl>
                  <c:pt idx="0">
                    <c:v>Ouvrier </c:v>
                  </c:pt>
                  <c:pt idx="1">
                    <c:v>Employé </c:v>
                  </c:pt>
                  <c:pt idx="2">
                    <c:v>Cadre </c:v>
                  </c:pt>
                  <c:pt idx="3">
                    <c:v>Directeur 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Données!$E$154:$L$154</c15:sqref>
                  </c15:fullRef>
                </c:ext>
              </c:extLst>
              <c:f>(Données!$F$154,Données!$H$154,Données!$J$154,Données!$L$154)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76-7641-9B86-BC5DAD6B3B0E}"/>
            </c:ext>
          </c:extLst>
        </c:ser>
        <c:ser>
          <c:idx val="3"/>
          <c:order val="3"/>
          <c:tx>
            <c:strRef>
              <c:f>Données!$D$155</c:f>
              <c:strCache>
                <c:ptCount val="1"/>
                <c:pt idx="0">
                  <c:v>de 45 ans à 50ans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(Données!$F$150:$F$151,Données!$H$150:$H$151,Données!$J$150:$J$151,Données!$L$150:$L$151)</c:f>
              <c:multiLvlStrCache>
                <c:ptCount val="4"/>
                <c:lvl>
                  <c:pt idx="0">
                    <c:v>M</c:v>
                  </c:pt>
                  <c:pt idx="1">
                    <c:v>M</c:v>
                  </c:pt>
                  <c:pt idx="2">
                    <c:v>M</c:v>
                  </c:pt>
                  <c:pt idx="3">
                    <c:v>M</c:v>
                  </c:pt>
                </c:lvl>
                <c:lvl>
                  <c:pt idx="0">
                    <c:v>Ouvrier </c:v>
                  </c:pt>
                  <c:pt idx="1">
                    <c:v>Employé </c:v>
                  </c:pt>
                  <c:pt idx="2">
                    <c:v>Cadre </c:v>
                  </c:pt>
                  <c:pt idx="3">
                    <c:v>Directeur 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Données!$E$155:$L$155</c15:sqref>
                  </c15:fullRef>
                </c:ext>
              </c:extLst>
              <c:f>(Données!$F$155,Données!$H$155,Données!$J$155,Données!$L$155)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76-7641-9B86-BC5DAD6B3B0E}"/>
            </c:ext>
          </c:extLst>
        </c:ser>
        <c:ser>
          <c:idx val="4"/>
          <c:order val="4"/>
          <c:tx>
            <c:strRef>
              <c:f>Données!$D$156</c:f>
              <c:strCache>
                <c:ptCount val="1"/>
                <c:pt idx="0">
                  <c:v>superieur à 50 ans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Données!$E$150:$L$151</c15:sqref>
                  </c15:fullRef>
                </c:ext>
              </c:extLst>
              <c:f>(Données!$F$150:$F$151,Données!$H$150:$H$151,Données!$J$150:$J$151,Données!$L$150:$L$151)</c:f>
              <c:multiLvlStrCache>
                <c:ptCount val="4"/>
                <c:lvl>
                  <c:pt idx="0">
                    <c:v>M</c:v>
                  </c:pt>
                  <c:pt idx="1">
                    <c:v>M</c:v>
                  </c:pt>
                  <c:pt idx="2">
                    <c:v>M</c:v>
                  </c:pt>
                  <c:pt idx="3">
                    <c:v>M</c:v>
                  </c:pt>
                </c:lvl>
                <c:lvl>
                  <c:pt idx="0">
                    <c:v>Ouvrier </c:v>
                  </c:pt>
                  <c:pt idx="1">
                    <c:v>Employé </c:v>
                  </c:pt>
                  <c:pt idx="2">
                    <c:v>Cadre </c:v>
                  </c:pt>
                  <c:pt idx="3">
                    <c:v>Directeur 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Données!$E$156:$L$156</c15:sqref>
                  </c15:fullRef>
                </c:ext>
              </c:extLst>
              <c:f>(Données!$F$156,Données!$H$156,Données!$J$156,Données!$L$156)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76-7641-9B86-BC5DAD6B3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052640"/>
        <c:axId val="615044800"/>
        <c:axId val="0"/>
      </c:bar3DChart>
      <c:catAx>
        <c:axId val="6150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44800"/>
        <c:crosses val="autoZero"/>
        <c:auto val="1"/>
        <c:lblAlgn val="ctr"/>
        <c:lblOffset val="100"/>
        <c:noMultiLvlLbl val="0"/>
      </c:catAx>
      <c:valAx>
        <c:axId val="6150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5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Temps partiel </a:t>
            </a:r>
            <a:r>
              <a:rPr lang="fr-FR" baseline="0"/>
              <a:t>/ genre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Données!$D$180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3"/>
            </a:solidFill>
            <a:ln cmpd="thickThin">
              <a:solidFill>
                <a:schemeClr val="accent1"/>
              </a:solidFill>
            </a:ln>
            <a:effectLst/>
          </c:spPr>
          <c:invertIfNegative val="0"/>
          <c:cat>
            <c:numRef>
              <c:f>Données!$C$181:$C$184</c:f>
              <c:numCache>
                <c:formatCode>0%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</c:numCache>
            </c:numRef>
          </c:cat>
          <c:val>
            <c:numRef>
              <c:f>Données!$D$181:$D$184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7-8445-8D7A-D2F4FE6480BD}"/>
            </c:ext>
          </c:extLst>
        </c:ser>
        <c:ser>
          <c:idx val="2"/>
          <c:order val="2"/>
          <c:tx>
            <c:strRef>
              <c:f>Données!$E$180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Données!$C$181:$C$184</c:f>
              <c:numCache>
                <c:formatCode>0%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</c:numCache>
            </c:numRef>
          </c:cat>
          <c:val>
            <c:numRef>
              <c:f>Données!$E$181:$E$184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7-8445-8D7A-D2F4FE648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axId val="615045192"/>
        <c:axId val="6150538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Données!$C$180</c15:sqref>
                        </c15:formulaRef>
                      </c:ext>
                    </c:extLst>
                    <c:strCache>
                      <c:ptCount val="1"/>
                      <c:pt idx="0">
                        <c:v>Temps plein/ partiel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Données!$C$181:$C$184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</c:v>
                      </c:pt>
                      <c:pt idx="1">
                        <c:v>0.6</c:v>
                      </c:pt>
                      <c:pt idx="2">
                        <c:v>0.7</c:v>
                      </c:pt>
                      <c:pt idx="3">
                        <c:v>0.8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Données!$C$181:$C$185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0.5</c:v>
                      </c:pt>
                      <c:pt idx="1">
                        <c:v>0.6</c:v>
                      </c:pt>
                      <c:pt idx="2">
                        <c:v>0.7</c:v>
                      </c:pt>
                      <c:pt idx="3">
                        <c:v>0.8</c:v>
                      </c:pt>
                      <c:pt idx="4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F17-8445-8D7A-D2F4FE6480BD}"/>
                  </c:ext>
                </c:extLst>
              </c15:ser>
            </c15:filteredBarSeries>
          </c:ext>
        </c:extLst>
      </c:barChart>
      <c:catAx>
        <c:axId val="615045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53816"/>
        <c:crosses val="autoZero"/>
        <c:auto val="1"/>
        <c:lblAlgn val="ctr"/>
        <c:lblOffset val="100"/>
        <c:noMultiLvlLbl val="0"/>
      </c:catAx>
      <c:valAx>
        <c:axId val="61505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4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Ancienneté / genre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660384405982568E-2"/>
          <c:y val="0.15460841291379707"/>
          <c:w val="0.93100558838262815"/>
          <c:h val="0.595793969806361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Données!$D$240</c:f>
              <c:strCache>
                <c:ptCount val="1"/>
                <c:pt idx="0">
                  <c:v>F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Données!$C$241:$C$246</c:f>
              <c:strCache>
                <c:ptCount val="6"/>
                <c:pt idx="0">
                  <c:v>de 0 ans à 5ans</c:v>
                </c:pt>
                <c:pt idx="1">
                  <c:v>de 5 ans à 10ans</c:v>
                </c:pt>
                <c:pt idx="2">
                  <c:v>de 10 ans à 20ans</c:v>
                </c:pt>
                <c:pt idx="3">
                  <c:v>de 20 ans à 30ans</c:v>
                </c:pt>
                <c:pt idx="4">
                  <c:v>de 30 ans à 40ans</c:v>
                </c:pt>
                <c:pt idx="5">
                  <c:v>superieur à 40 ans </c:v>
                </c:pt>
              </c:strCache>
            </c:strRef>
          </c:cat>
          <c:val>
            <c:numRef>
              <c:f>Données!$D$241:$D$246</c:f>
              <c:numCache>
                <c:formatCode>0</c:formatCode>
                <c:ptCount val="6"/>
                <c:pt idx="0">
                  <c:v>4</c:v>
                </c:pt>
                <c:pt idx="1">
                  <c:v>9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4-C945-BED6-ED13344332A1}"/>
            </c:ext>
          </c:extLst>
        </c:ser>
        <c:ser>
          <c:idx val="1"/>
          <c:order val="1"/>
          <c:tx>
            <c:strRef>
              <c:f>Données!$E$240</c:f>
              <c:strCache>
                <c:ptCount val="1"/>
                <c:pt idx="0">
                  <c:v>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Données!$C$241:$C$246</c:f>
              <c:strCache>
                <c:ptCount val="6"/>
                <c:pt idx="0">
                  <c:v>de 0 ans à 5ans</c:v>
                </c:pt>
                <c:pt idx="1">
                  <c:v>de 5 ans à 10ans</c:v>
                </c:pt>
                <c:pt idx="2">
                  <c:v>de 10 ans à 20ans</c:v>
                </c:pt>
                <c:pt idx="3">
                  <c:v>de 20 ans à 30ans</c:v>
                </c:pt>
                <c:pt idx="4">
                  <c:v>de 30 ans à 40ans</c:v>
                </c:pt>
                <c:pt idx="5">
                  <c:v>superieur à 40 ans </c:v>
                </c:pt>
              </c:strCache>
            </c:strRef>
          </c:cat>
          <c:val>
            <c:numRef>
              <c:f>Données!$E$241:$E$246</c:f>
              <c:numCache>
                <c:formatCode>0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4-C945-BED6-ED133443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048720"/>
        <c:axId val="615046368"/>
        <c:axId val="0"/>
      </c:bar3DChart>
      <c:catAx>
        <c:axId val="61504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46368"/>
        <c:crosses val="autoZero"/>
        <c:auto val="1"/>
        <c:lblAlgn val="ctr"/>
        <c:lblOffset val="100"/>
        <c:noMultiLvlLbl val="0"/>
      </c:catAx>
      <c:valAx>
        <c:axId val="6150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4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Ancienneté gobale </a:t>
            </a:r>
          </a:p>
        </c:rich>
      </c:tx>
      <c:layout>
        <c:manualLayout>
          <c:xMode val="edge"/>
          <c:yMode val="edge"/>
          <c:x val="0.32752777777777775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4340296004666084"/>
          <c:w val="1"/>
          <c:h val="0.8137718722659667"/>
        </c:manualLayout>
      </c:layout>
      <c:pie3DChart>
        <c:varyColors val="1"/>
        <c:ser>
          <c:idx val="0"/>
          <c:order val="0"/>
          <c:tx>
            <c:strRef>
              <c:f>Données!$F$240</c:f>
              <c:strCache>
                <c:ptCount val="1"/>
                <c:pt idx="0">
                  <c:v>Total Géneral </c:v>
                </c:pt>
              </c:strCache>
            </c:strRef>
          </c:tx>
          <c:explosion val="21"/>
          <c:dPt>
            <c:idx val="0"/>
            <c:bubble3D val="0"/>
            <c:explosion val="17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811-7648-908E-44771F618722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811-7648-908E-44771F618722}"/>
              </c:ext>
            </c:extLst>
          </c:dPt>
          <c:dPt>
            <c:idx val="2"/>
            <c:bubble3D val="0"/>
            <c:explosion val="5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811-7648-908E-44771F618722}"/>
              </c:ext>
            </c:extLst>
          </c:dPt>
          <c:dPt>
            <c:idx val="3"/>
            <c:bubble3D val="0"/>
            <c:explosion val="17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811-7648-908E-44771F6187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F811-7648-908E-44771F6187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F811-7648-908E-44771F618722}"/>
              </c:ext>
            </c:extLst>
          </c:dPt>
          <c:dLbls>
            <c:dLbl>
              <c:idx val="0"/>
              <c:layout>
                <c:manualLayout>
                  <c:x val="6.2918416447944006E-2"/>
                  <c:y val="3.0901501895596383E-2"/>
                </c:manualLayout>
              </c:layout>
              <c:tx>
                <c:rich>
                  <a:bodyPr/>
                  <a:lstStyle/>
                  <a:p>
                    <a:fld id="{5D47C861-5CC8-421A-94CA-7194847A9A7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ED8016C7-F89E-42CD-ABA7-B0BD6F0A8C97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[POURCENTAGE]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811-7648-908E-44771F618722}"/>
                </c:ext>
              </c:extLst>
            </c:dLbl>
            <c:dLbl>
              <c:idx val="1"/>
              <c:layout>
                <c:manualLayout>
                  <c:x val="8.4187882764654415E-2"/>
                  <c:y val="-0.12197324292796734"/>
                </c:manualLayout>
              </c:layout>
              <c:tx>
                <c:rich>
                  <a:bodyPr/>
                  <a:lstStyle/>
                  <a:p>
                    <a:fld id="{BEC82B49-5445-47BB-98E7-4643899E0BD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B4714686-2639-4307-B4DC-35BE80A107DA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[POURCENTAGE]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811-7648-908E-44771F618722}"/>
                </c:ext>
              </c:extLst>
            </c:dLbl>
            <c:dLbl>
              <c:idx val="2"/>
              <c:layout>
                <c:manualLayout>
                  <c:x val="-6.5538713910761159E-2"/>
                  <c:y val="-0.15762685914260727"/>
                </c:manualLayout>
              </c:layout>
              <c:tx>
                <c:rich>
                  <a:bodyPr/>
                  <a:lstStyle/>
                  <a:p>
                    <a:fld id="{017715FE-7237-4080-803E-B9556B150AE6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5C3A77C4-3FA1-4D73-9543-42832A3A1F90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[POURCENTAGE]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811-7648-908E-44771F618722}"/>
                </c:ext>
              </c:extLst>
            </c:dLbl>
            <c:dLbl>
              <c:idx val="3"/>
              <c:layout>
                <c:manualLayout>
                  <c:x val="-5.2054899387576604E-2"/>
                  <c:y val="3.2551764362787942E-2"/>
                </c:manualLayout>
              </c:layout>
              <c:tx>
                <c:rich>
                  <a:bodyPr/>
                  <a:lstStyle/>
                  <a:p>
                    <a:fld id="{E1AEADF3-F5AE-43B6-AC58-FF7DD63AEC0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38EB819E-36E1-45CC-B074-8A7247ACA151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[POURCENTAGE]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811-7648-908E-44771F618722}"/>
                </c:ext>
              </c:extLst>
            </c:dLbl>
            <c:dLbl>
              <c:idx val="4"/>
              <c:layout>
                <c:manualLayout>
                  <c:x val="-7.1816929133858273E-2"/>
                  <c:y val="3.6079760863225431E-2"/>
                </c:manualLayout>
              </c:layout>
              <c:tx>
                <c:rich>
                  <a:bodyPr/>
                  <a:lstStyle/>
                  <a:p>
                    <a:fld id="{1F46FC28-36B0-48C4-B436-66F766A59EF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34B35C6A-712F-4817-BC55-9928EFA2B95D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[POURCENTAGE]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811-7648-908E-44771F618722}"/>
                </c:ext>
              </c:extLst>
            </c:dLbl>
            <c:dLbl>
              <c:idx val="5"/>
              <c:layout>
                <c:manualLayout>
                  <c:x val="1.4305555555555505E-2"/>
                  <c:y val="9.664989792942549E-3"/>
                </c:manualLayout>
              </c:layout>
              <c:tx>
                <c:rich>
                  <a:bodyPr/>
                  <a:lstStyle/>
                  <a:p>
                    <a:fld id="{3475ADD2-3AF8-4630-A3FD-913163E55FB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51899BD2-F0BB-42E3-A98A-2292A94CAEA9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[POURCENTAGE]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811-7648-908E-44771F618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Données!$C$241:$C$246</c:f>
              <c:strCache>
                <c:ptCount val="6"/>
                <c:pt idx="0">
                  <c:v>de 0 ans à 5ans</c:v>
                </c:pt>
                <c:pt idx="1">
                  <c:v>de 5 ans à 10ans</c:v>
                </c:pt>
                <c:pt idx="2">
                  <c:v>de 10 ans à 20ans</c:v>
                </c:pt>
                <c:pt idx="3">
                  <c:v>de 20 ans à 30ans</c:v>
                </c:pt>
                <c:pt idx="4">
                  <c:v>de 30 ans à 40ans</c:v>
                </c:pt>
                <c:pt idx="5">
                  <c:v>superieur à 40 ans </c:v>
                </c:pt>
              </c:strCache>
            </c:strRef>
          </c:cat>
          <c:val>
            <c:numRef>
              <c:f>Données!$F$241:$F$246</c:f>
              <c:numCache>
                <c:formatCode>0</c:formatCode>
                <c:ptCount val="6"/>
                <c:pt idx="0">
                  <c:v>14</c:v>
                </c:pt>
                <c:pt idx="1">
                  <c:v>22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11-7648-908E-44771F61872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25656167979004"/>
          <c:y val="0.84143409157188687"/>
          <c:w val="0.82329087883598373"/>
          <c:h val="0.1447523739109414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379056</xdr:colOff>
      <xdr:row>211</xdr:row>
      <xdr:rowOff>106912</xdr:rowOff>
    </xdr:from>
    <xdr:to>
      <xdr:col>6</xdr:col>
      <xdr:colOff>272142</xdr:colOff>
      <xdr:row>230</xdr:row>
      <xdr:rowOff>48596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522900</xdr:colOff>
      <xdr:row>117</xdr:row>
      <xdr:rowOff>86308</xdr:rowOff>
    </xdr:from>
    <xdr:to>
      <xdr:col>8</xdr:col>
      <xdr:colOff>787269</xdr:colOff>
      <xdr:row>129</xdr:row>
      <xdr:rowOff>87475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338235</xdr:colOff>
      <xdr:row>104</xdr:row>
      <xdr:rowOff>144624</xdr:rowOff>
    </xdr:from>
    <xdr:to>
      <xdr:col>7</xdr:col>
      <xdr:colOff>427653</xdr:colOff>
      <xdr:row>115</xdr:row>
      <xdr:rowOff>38877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440288</xdr:colOff>
      <xdr:row>132</xdr:row>
      <xdr:rowOff>47432</xdr:rowOff>
    </xdr:from>
    <xdr:to>
      <xdr:col>10</xdr:col>
      <xdr:colOff>272142</xdr:colOff>
      <xdr:row>145</xdr:row>
      <xdr:rowOff>38878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343095</xdr:colOff>
      <xdr:row>158</xdr:row>
      <xdr:rowOff>66869</xdr:rowOff>
    </xdr:from>
    <xdr:to>
      <xdr:col>5</xdr:col>
      <xdr:colOff>152595</xdr:colOff>
      <xdr:row>174</xdr:row>
      <xdr:rowOff>19438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692993</xdr:colOff>
      <xdr:row>158</xdr:row>
      <xdr:rowOff>66870</xdr:rowOff>
    </xdr:from>
    <xdr:to>
      <xdr:col>11</xdr:col>
      <xdr:colOff>240069</xdr:colOff>
      <xdr:row>174</xdr:row>
      <xdr:rowOff>9719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236182</xdr:colOff>
      <xdr:row>186</xdr:row>
      <xdr:rowOff>136071</xdr:rowOff>
    </xdr:from>
    <xdr:to>
      <xdr:col>6</xdr:col>
      <xdr:colOff>87475</xdr:colOff>
      <xdr:row>200</xdr:row>
      <xdr:rowOff>9718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352813</xdr:colOff>
      <xdr:row>247</xdr:row>
      <xdr:rowOff>134904</xdr:rowOff>
    </xdr:from>
    <xdr:to>
      <xdr:col>5</xdr:col>
      <xdr:colOff>126352</xdr:colOff>
      <xdr:row>261</xdr:row>
      <xdr:rowOff>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275058</xdr:colOff>
      <xdr:row>238</xdr:row>
      <xdr:rowOff>144626</xdr:rowOff>
    </xdr:from>
    <xdr:to>
      <xdr:col>10</xdr:col>
      <xdr:colOff>408214</xdr:colOff>
      <xdr:row>256</xdr:row>
      <xdr:rowOff>116634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498602</xdr:colOff>
      <xdr:row>273</xdr:row>
      <xdr:rowOff>96028</xdr:rowOff>
    </xdr:from>
    <xdr:to>
      <xdr:col>6</xdr:col>
      <xdr:colOff>622041</xdr:colOff>
      <xdr:row>292</xdr:row>
      <xdr:rowOff>145791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811082</xdr:colOff>
      <xdr:row>317</xdr:row>
      <xdr:rowOff>25805</xdr:rowOff>
    </xdr:from>
    <xdr:to>
      <xdr:col>7</xdr:col>
      <xdr:colOff>779007</xdr:colOff>
      <xdr:row>325</xdr:row>
      <xdr:rowOff>65849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323656</xdr:colOff>
      <xdr:row>326</xdr:row>
      <xdr:rowOff>96026</xdr:rowOff>
    </xdr:from>
    <xdr:to>
      <xdr:col>8</xdr:col>
      <xdr:colOff>573443</xdr:colOff>
      <xdr:row>343</xdr:row>
      <xdr:rowOff>58316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255618</xdr:colOff>
      <xdr:row>344</xdr:row>
      <xdr:rowOff>115466</xdr:rowOff>
    </xdr:from>
    <xdr:to>
      <xdr:col>9</xdr:col>
      <xdr:colOff>87474</xdr:colOff>
      <xdr:row>355</xdr:row>
      <xdr:rowOff>19439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684245</xdr:colOff>
      <xdr:row>364</xdr:row>
      <xdr:rowOff>164064</xdr:rowOff>
    </xdr:from>
    <xdr:to>
      <xdr:col>11</xdr:col>
      <xdr:colOff>400925</xdr:colOff>
      <xdr:row>378</xdr:row>
      <xdr:rowOff>87474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398495</xdr:colOff>
      <xdr:row>387</xdr:row>
      <xdr:rowOff>86308</xdr:rowOff>
    </xdr:from>
    <xdr:to>
      <xdr:col>7</xdr:col>
      <xdr:colOff>680358</xdr:colOff>
      <xdr:row>397</xdr:row>
      <xdr:rowOff>126352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411130</xdr:colOff>
      <xdr:row>401</xdr:row>
      <xdr:rowOff>47431</xdr:rowOff>
    </xdr:from>
    <xdr:to>
      <xdr:col>4</xdr:col>
      <xdr:colOff>660918</xdr:colOff>
      <xdr:row>419</xdr:row>
      <xdr:rowOff>155510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rgane zussa" refreshedDate="44813.646421527781" createdVersion="8" refreshedVersion="8" minRefreshableVersion="3" recordCount="64" xr:uid="{00000000-000A-0000-FFFF-FFFF55000000}">
  <cacheSource type="worksheet">
    <worksheetSource ref="D5:G69" sheet="Données"/>
  </cacheSource>
  <cacheFields count="4">
    <cacheField name="Sexe" numFmtId="0">
      <sharedItems count="2">
        <s v="M"/>
        <s v="F"/>
      </sharedItems>
    </cacheField>
    <cacheField name="D_Nais" numFmtId="165">
      <sharedItems containsSemiMixedTypes="0" containsNonDate="0" containsDate="1" containsString="0" minDate="1960-12-17T00:00:00" maxDate="1999-01-14T00:00:00"/>
    </cacheField>
    <cacheField name="D_Arrivée" numFmtId="165">
      <sharedItems containsSemiMixedTypes="0" containsNonDate="0" containsDate="1" containsString="0" minDate="1979-03-01T00:00:00" maxDate="2021-09-02T00:00:00"/>
    </cacheField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rgane zussa" refreshedDate="44813.648991203707" createdVersion="8" refreshedVersion="8" minRefreshableVersion="3" recordCount="64" xr:uid="{00000000-000A-0000-FFFF-FFFF56000000}">
  <cacheSource type="worksheet">
    <worksheetSource ref="G5:J69" sheet="Données"/>
  </cacheSource>
  <cacheFields count="3"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alaire/an" numFmtId="3">
      <sharedItems containsSemiMixedTypes="0" containsString="0" containsNumber="1" containsInteger="1" minValue="16844" maxValue="153446"/>
    </cacheField>
    <cacheField name="Absenteisme" numFmtId="0">
      <sharedItems containsSemiMixedTypes="0" containsString="0" containsNumber="1" containsInteger="1" minValue="0" maxValue="110" count="17">
        <n v="0"/>
        <n v="24"/>
        <n v="11"/>
        <n v="2"/>
        <n v="1"/>
        <n v="45"/>
        <n v="3"/>
        <n v="4"/>
        <n v="10"/>
        <n v="20"/>
        <n v="90"/>
        <n v="16"/>
        <n v="9"/>
        <n v="5"/>
        <n v="26"/>
        <n v="110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rgane zussa" refreshedDate="44813.65120497685" createdVersion="8" refreshedVersion="8" minRefreshableVersion="3" recordCount="65" xr:uid="{00000000-000A-0000-FFFF-FFFF57000000}">
  <cacheSource type="worksheet">
    <worksheetSource ref="D5:G70" sheet="Données"/>
  </cacheSource>
  <cacheFields count="4">
    <cacheField name="Sexe" numFmtId="0">
      <sharedItems count="2">
        <s v="M"/>
        <s v="F"/>
      </sharedItems>
    </cacheField>
    <cacheField name="D_Nais" numFmtId="165">
      <sharedItems containsSemiMixedTypes="0" containsNonDate="0" containsDate="1" containsString="0" minDate="1960-12-17T00:00:00" maxDate="1999-01-14T00:00:00"/>
    </cacheField>
    <cacheField name="D_Arrivée" numFmtId="165">
      <sharedItems containsSemiMixedTypes="0" containsNonDate="0" containsDate="1" containsString="0" minDate="1979-03-01T00:00:00" maxDate="2021-09-02T00:00:00"/>
    </cacheField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d v="1981-05-22T00:00:00"/>
    <d v="2004-05-01T00:00:00"/>
    <x v="0"/>
  </r>
  <r>
    <x v="1"/>
    <d v="1969-08-13T00:00:00"/>
    <d v="1989-08-01T00:00:00"/>
    <x v="1"/>
  </r>
  <r>
    <x v="1"/>
    <d v="1978-02-08T00:00:00"/>
    <d v="2003-02-01T00:00:00"/>
    <x v="1"/>
  </r>
  <r>
    <x v="0"/>
    <d v="1994-10-04T00:00:00"/>
    <d v="2013-03-01T00:00:00"/>
    <x v="1"/>
  </r>
  <r>
    <x v="0"/>
    <d v="1973-11-06T00:00:00"/>
    <d v="2002-01-01T00:00:00"/>
    <x v="2"/>
  </r>
  <r>
    <x v="0"/>
    <d v="1992-03-16T00:00:00"/>
    <d v="2017-06-01T00:00:00"/>
    <x v="1"/>
  </r>
  <r>
    <x v="1"/>
    <d v="1996-07-29T00:00:00"/>
    <d v="2019-08-01T00:00:00"/>
    <x v="1"/>
  </r>
  <r>
    <x v="1"/>
    <d v="1985-12-02T00:00:00"/>
    <d v="2013-11-01T00:00:00"/>
    <x v="0"/>
  </r>
  <r>
    <x v="1"/>
    <d v="1986-11-10T00:00:00"/>
    <d v="2005-11-01T00:00:00"/>
    <x v="0"/>
  </r>
  <r>
    <x v="1"/>
    <d v="1979-02-24T00:00:00"/>
    <d v="2010-07-01T00:00:00"/>
    <x v="1"/>
  </r>
  <r>
    <x v="0"/>
    <d v="1993-06-17T00:00:00"/>
    <d v="2014-12-01T00:00:00"/>
    <x v="1"/>
  </r>
  <r>
    <x v="0"/>
    <d v="1965-04-02T00:00:00"/>
    <d v="1989-07-01T00:00:00"/>
    <x v="2"/>
  </r>
  <r>
    <x v="0"/>
    <d v="1965-09-01T00:00:00"/>
    <d v="1983-02-01T00:00:00"/>
    <x v="3"/>
  </r>
  <r>
    <x v="1"/>
    <d v="1967-05-20T00:00:00"/>
    <d v="1994-12-01T00:00:00"/>
    <x v="0"/>
  </r>
  <r>
    <x v="1"/>
    <d v="1969-11-29T00:00:00"/>
    <d v="1998-09-01T00:00:00"/>
    <x v="0"/>
  </r>
  <r>
    <x v="0"/>
    <d v="1971-12-20T00:00:00"/>
    <d v="1996-05-01T00:00:00"/>
    <x v="0"/>
  </r>
  <r>
    <x v="0"/>
    <d v="1977-11-30T00:00:00"/>
    <d v="2001-01-01T00:00:00"/>
    <x v="0"/>
  </r>
  <r>
    <x v="1"/>
    <d v="1978-03-18T00:00:00"/>
    <d v="2012-06-01T00:00:00"/>
    <x v="0"/>
  </r>
  <r>
    <x v="1"/>
    <d v="1978-07-16T00:00:00"/>
    <d v="2002-11-01T00:00:00"/>
    <x v="0"/>
  </r>
  <r>
    <x v="0"/>
    <d v="1980-11-22T00:00:00"/>
    <d v="2019-08-01T00:00:00"/>
    <x v="1"/>
  </r>
  <r>
    <x v="1"/>
    <d v="1981-04-20T00:00:00"/>
    <d v="2016-05-01T00:00:00"/>
    <x v="1"/>
  </r>
  <r>
    <x v="0"/>
    <d v="1983-01-28T00:00:00"/>
    <d v="2006-12-01T00:00:00"/>
    <x v="1"/>
  </r>
  <r>
    <x v="0"/>
    <d v="1983-03-12T00:00:00"/>
    <d v="2018-12-01T00:00:00"/>
    <x v="2"/>
  </r>
  <r>
    <x v="1"/>
    <d v="1984-08-23T00:00:00"/>
    <d v="2008-08-01T00:00:00"/>
    <x v="2"/>
  </r>
  <r>
    <x v="0"/>
    <d v="1987-12-06T00:00:00"/>
    <d v="2014-03-01T00:00:00"/>
    <x v="3"/>
  </r>
  <r>
    <x v="0"/>
    <d v="1989-11-03T00:00:00"/>
    <d v="2014-09-01T00:00:00"/>
    <x v="2"/>
  </r>
  <r>
    <x v="0"/>
    <d v="1990-10-12T00:00:00"/>
    <d v="2012-04-01T00:00:00"/>
    <x v="0"/>
  </r>
  <r>
    <x v="0"/>
    <d v="1991-08-04T00:00:00"/>
    <d v="2018-01-01T00:00:00"/>
    <x v="0"/>
  </r>
  <r>
    <x v="0"/>
    <d v="1992-09-08T00:00:00"/>
    <d v="2016-08-01T00:00:00"/>
    <x v="0"/>
  </r>
  <r>
    <x v="1"/>
    <d v="1994-06-17T00:00:00"/>
    <d v="2015-06-01T00:00:00"/>
    <x v="0"/>
  </r>
  <r>
    <x v="0"/>
    <d v="1994-12-30T00:00:00"/>
    <d v="2015-06-01T00:00:00"/>
    <x v="0"/>
  </r>
  <r>
    <x v="1"/>
    <d v="1998-09-27T00:00:00"/>
    <d v="2018-07-01T00:00:00"/>
    <x v="0"/>
  </r>
  <r>
    <x v="0"/>
    <d v="1994-10-26T00:00:00"/>
    <d v="2013-03-01T00:00:00"/>
    <x v="2"/>
  </r>
  <r>
    <x v="1"/>
    <d v="1978-03-19T00:00:00"/>
    <d v="2001-01-01T00:00:00"/>
    <x v="3"/>
  </r>
  <r>
    <x v="0"/>
    <d v="1981-04-28T00:00:00"/>
    <d v="2016-05-01T00:00:00"/>
    <x v="0"/>
  </r>
  <r>
    <x v="0"/>
    <d v="1983-09-04T00:00:00"/>
    <d v="2018-12-01T00:00:00"/>
    <x v="0"/>
  </r>
  <r>
    <x v="0"/>
    <d v="1999-01-13T00:00:00"/>
    <d v="2019-06-01T00:00:00"/>
    <x v="0"/>
  </r>
  <r>
    <x v="0"/>
    <d v="1990-04-17T00:00:00"/>
    <d v="2014-09-01T00:00:00"/>
    <x v="2"/>
  </r>
  <r>
    <x v="1"/>
    <d v="1994-08-14T00:00:00"/>
    <d v="2015-06-01T00:00:00"/>
    <x v="1"/>
  </r>
  <r>
    <x v="0"/>
    <d v="1984-10-26T00:00:00"/>
    <d v="2008-08-01T00:00:00"/>
    <x v="0"/>
  </r>
  <r>
    <x v="1"/>
    <d v="1972-04-11T00:00:00"/>
    <d v="1996-05-01T00:00:00"/>
    <x v="1"/>
  </r>
  <r>
    <x v="0"/>
    <d v="1992-06-21T00:00:00"/>
    <d v="2017-06-01T00:00:00"/>
    <x v="0"/>
  </r>
  <r>
    <x v="1"/>
    <d v="1978-07-12T00:00:00"/>
    <d v="2012-06-01T00:00:00"/>
    <x v="1"/>
  </r>
  <r>
    <x v="1"/>
    <d v="1960-12-17T00:00:00"/>
    <d v="1979-03-01T00:00:00"/>
    <x v="0"/>
  </r>
  <r>
    <x v="1"/>
    <d v="1995-04-18T00:00:00"/>
    <d v="2015-06-01T00:00:00"/>
    <x v="1"/>
  </r>
  <r>
    <x v="0"/>
    <d v="1993-07-15T00:00:00"/>
    <d v="2014-12-01T00:00:00"/>
    <x v="2"/>
  </r>
  <r>
    <x v="1"/>
    <d v="1998-07-14T00:00:00"/>
    <d v="2018-07-01T00:00:00"/>
    <x v="2"/>
  </r>
  <r>
    <x v="0"/>
    <d v="1983-02-17T00:00:00"/>
    <d v="2006-12-01T00:00:00"/>
    <x v="1"/>
  </r>
  <r>
    <x v="0"/>
    <d v="1973-11-22T00:00:00"/>
    <d v="2002-01-01T00:00:00"/>
    <x v="2"/>
  </r>
  <r>
    <x v="1"/>
    <d v="1991-11-25T00:00:00"/>
    <d v="2019-01-01T00:00:00"/>
    <x v="0"/>
  </r>
  <r>
    <x v="1"/>
    <d v="1965-07-31T00:00:00"/>
    <d v="1989-07-01T00:00:00"/>
    <x v="2"/>
  </r>
  <r>
    <x v="0"/>
    <d v="1981-09-01T00:00:00"/>
    <d v="2018-08-01T00:00:00"/>
    <x v="1"/>
  </r>
  <r>
    <x v="1"/>
    <d v="1979-07-26T00:00:00"/>
    <d v="2010-07-01T00:00:00"/>
    <x v="0"/>
  </r>
  <r>
    <x v="0"/>
    <d v="1967-06-14T00:00:00"/>
    <d v="1994-12-01T00:00:00"/>
    <x v="0"/>
  </r>
  <r>
    <x v="0"/>
    <d v="1996-08-23T00:00:00"/>
    <d v="2021-09-01T00:00:00"/>
    <x v="2"/>
  </r>
  <r>
    <x v="0"/>
    <d v="1966-01-11T00:00:00"/>
    <d v="1990-11-01T00:00:00"/>
    <x v="0"/>
  </r>
  <r>
    <x v="1"/>
    <d v="1986-05-26T00:00:00"/>
    <d v="2013-11-01T00:00:00"/>
    <x v="2"/>
  </r>
  <r>
    <x v="0"/>
    <d v="1988-01-19T00:00:00"/>
    <d v="2014-03-01T00:00:00"/>
    <x v="3"/>
  </r>
  <r>
    <x v="1"/>
    <d v="1965-12-04T00:00:00"/>
    <d v="1983-02-01T00:00:00"/>
    <x v="0"/>
  </r>
  <r>
    <x v="1"/>
    <d v="1978-12-10T00:00:00"/>
    <d v="2002-11-01T00:00:00"/>
    <x v="1"/>
  </r>
  <r>
    <x v="1"/>
    <d v="1986-01-11T00:00:00"/>
    <d v="2005-10-01T00:00:00"/>
    <x v="1"/>
  </r>
  <r>
    <x v="0"/>
    <d v="1981-01-05T00:00:00"/>
    <d v="2021-09-01T00:00:00"/>
    <x v="1"/>
  </r>
  <r>
    <x v="0"/>
    <d v="1990-12-11T00:00:00"/>
    <d v="2012-04-01T00:00:00"/>
    <x v="0"/>
  </r>
  <r>
    <x v="1"/>
    <d v="1992-09-25T00:00:00"/>
    <d v="2016-08-01T00:00:0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n v="28175"/>
    <x v="0"/>
  </r>
  <r>
    <x v="1"/>
    <n v="21906"/>
    <x v="1"/>
  </r>
  <r>
    <x v="1"/>
    <n v="35152"/>
    <x v="2"/>
  </r>
  <r>
    <x v="1"/>
    <n v="28269"/>
    <x v="0"/>
  </r>
  <r>
    <x v="2"/>
    <n v="49929"/>
    <x v="3"/>
  </r>
  <r>
    <x v="1"/>
    <n v="20234"/>
    <x v="4"/>
  </r>
  <r>
    <x v="1"/>
    <n v="31481"/>
    <x v="0"/>
  </r>
  <r>
    <x v="0"/>
    <n v="26961"/>
    <x v="5"/>
  </r>
  <r>
    <x v="0"/>
    <n v="26059"/>
    <x v="0"/>
  </r>
  <r>
    <x v="1"/>
    <n v="16844"/>
    <x v="0"/>
  </r>
  <r>
    <x v="1"/>
    <n v="28882"/>
    <x v="0"/>
  </r>
  <r>
    <x v="2"/>
    <n v="55313"/>
    <x v="6"/>
  </r>
  <r>
    <x v="3"/>
    <n v="99367"/>
    <x v="7"/>
  </r>
  <r>
    <x v="0"/>
    <n v="27374"/>
    <x v="8"/>
  </r>
  <r>
    <x v="0"/>
    <n v="27482"/>
    <x v="0"/>
  </r>
  <r>
    <x v="0"/>
    <n v="27579"/>
    <x v="9"/>
  </r>
  <r>
    <x v="0"/>
    <n v="24385"/>
    <x v="10"/>
  </r>
  <r>
    <x v="0"/>
    <n v="28418"/>
    <x v="3"/>
  </r>
  <r>
    <x v="0"/>
    <n v="28264"/>
    <x v="11"/>
  </r>
  <r>
    <x v="1"/>
    <n v="30969"/>
    <x v="0"/>
  </r>
  <r>
    <x v="1"/>
    <n v="20523"/>
    <x v="0"/>
  </r>
  <r>
    <x v="1"/>
    <n v="30759"/>
    <x v="4"/>
  </r>
  <r>
    <x v="2"/>
    <n v="54566"/>
    <x v="12"/>
  </r>
  <r>
    <x v="2"/>
    <n v="46356"/>
    <x v="0"/>
  </r>
  <r>
    <x v="3"/>
    <n v="127272"/>
    <x v="0"/>
  </r>
  <r>
    <x v="2"/>
    <n v="52174"/>
    <x v="4"/>
  </r>
  <r>
    <x v="0"/>
    <n v="27082"/>
    <x v="13"/>
  </r>
  <r>
    <x v="0"/>
    <n v="25951"/>
    <x v="8"/>
  </r>
  <r>
    <x v="0"/>
    <n v="28732"/>
    <x v="0"/>
  </r>
  <r>
    <x v="0"/>
    <n v="27082"/>
    <x v="0"/>
  </r>
  <r>
    <x v="0"/>
    <n v="26252"/>
    <x v="3"/>
  </r>
  <r>
    <x v="0"/>
    <n v="26059"/>
    <x v="0"/>
  </r>
  <r>
    <x v="2"/>
    <n v="50237"/>
    <x v="3"/>
  </r>
  <r>
    <x v="3"/>
    <n v="103749"/>
    <x v="0"/>
  </r>
  <r>
    <x v="0"/>
    <n v="23826"/>
    <x v="0"/>
  </r>
  <r>
    <x v="0"/>
    <n v="27903"/>
    <x v="0"/>
  </r>
  <r>
    <x v="0"/>
    <n v="27854"/>
    <x v="14"/>
  </r>
  <r>
    <x v="2"/>
    <n v="54312"/>
    <x v="0"/>
  </r>
  <r>
    <x v="1"/>
    <n v="44203"/>
    <x v="4"/>
  </r>
  <r>
    <x v="0"/>
    <n v="27680"/>
    <x v="0"/>
  </r>
  <r>
    <x v="1"/>
    <n v="29245"/>
    <x v="4"/>
  </r>
  <r>
    <x v="0"/>
    <n v="29109"/>
    <x v="4"/>
  </r>
  <r>
    <x v="1"/>
    <n v="33352"/>
    <x v="0"/>
  </r>
  <r>
    <x v="0"/>
    <n v="29545"/>
    <x v="15"/>
  </r>
  <r>
    <x v="1"/>
    <n v="33734"/>
    <x v="0"/>
  </r>
  <r>
    <x v="2"/>
    <n v="53110"/>
    <x v="0"/>
  </r>
  <r>
    <x v="2"/>
    <n v="59173"/>
    <x v="4"/>
  </r>
  <r>
    <x v="1"/>
    <n v="27529"/>
    <x v="0"/>
  </r>
  <r>
    <x v="2"/>
    <n v="35644"/>
    <x v="16"/>
  </r>
  <r>
    <x v="0"/>
    <n v="28605"/>
    <x v="6"/>
  </r>
  <r>
    <x v="2"/>
    <n v="36555"/>
    <x v="0"/>
  </r>
  <r>
    <x v="1"/>
    <n v="19864"/>
    <x v="14"/>
  </r>
  <r>
    <x v="0"/>
    <n v="27914"/>
    <x v="0"/>
  </r>
  <r>
    <x v="0"/>
    <n v="29146"/>
    <x v="6"/>
  </r>
  <r>
    <x v="2"/>
    <n v="55420"/>
    <x v="0"/>
  </r>
  <r>
    <x v="0"/>
    <n v="33306"/>
    <x v="4"/>
  </r>
  <r>
    <x v="2"/>
    <n v="52441"/>
    <x v="0"/>
  </r>
  <r>
    <x v="3"/>
    <n v="153446"/>
    <x v="0"/>
  </r>
  <r>
    <x v="0"/>
    <n v="32704"/>
    <x v="0"/>
  </r>
  <r>
    <x v="1"/>
    <n v="28774"/>
    <x v="0"/>
  </r>
  <r>
    <x v="1"/>
    <n v="23432"/>
    <x v="7"/>
  </r>
  <r>
    <x v="1"/>
    <n v="36340"/>
    <x v="0"/>
  </r>
  <r>
    <x v="0"/>
    <n v="28309"/>
    <x v="0"/>
  </r>
  <r>
    <x v="0"/>
    <n v="29519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x v="0"/>
    <d v="1981-05-22T00:00:00"/>
    <d v="2004-05-01T00:00:00"/>
    <x v="0"/>
  </r>
  <r>
    <x v="1"/>
    <d v="1969-08-13T00:00:00"/>
    <d v="1989-08-01T00:00:00"/>
    <x v="1"/>
  </r>
  <r>
    <x v="1"/>
    <d v="1978-02-08T00:00:00"/>
    <d v="2003-02-01T00:00:00"/>
    <x v="1"/>
  </r>
  <r>
    <x v="0"/>
    <d v="1994-10-04T00:00:00"/>
    <d v="2013-03-01T00:00:00"/>
    <x v="1"/>
  </r>
  <r>
    <x v="0"/>
    <d v="1973-11-06T00:00:00"/>
    <d v="2002-01-01T00:00:00"/>
    <x v="2"/>
  </r>
  <r>
    <x v="0"/>
    <d v="1992-03-16T00:00:00"/>
    <d v="2017-06-01T00:00:00"/>
    <x v="1"/>
  </r>
  <r>
    <x v="1"/>
    <d v="1996-07-29T00:00:00"/>
    <d v="2019-08-01T00:00:00"/>
    <x v="1"/>
  </r>
  <r>
    <x v="1"/>
    <d v="1985-12-02T00:00:00"/>
    <d v="2013-11-01T00:00:00"/>
    <x v="0"/>
  </r>
  <r>
    <x v="1"/>
    <d v="1986-11-10T00:00:00"/>
    <d v="2005-11-01T00:00:00"/>
    <x v="0"/>
  </r>
  <r>
    <x v="1"/>
    <d v="1979-02-24T00:00:00"/>
    <d v="2010-07-01T00:00:00"/>
    <x v="1"/>
  </r>
  <r>
    <x v="0"/>
    <d v="1993-06-17T00:00:00"/>
    <d v="2014-12-01T00:00:00"/>
    <x v="1"/>
  </r>
  <r>
    <x v="0"/>
    <d v="1965-04-02T00:00:00"/>
    <d v="1989-07-01T00:00:00"/>
    <x v="2"/>
  </r>
  <r>
    <x v="0"/>
    <d v="1965-09-01T00:00:00"/>
    <d v="1983-02-01T00:00:00"/>
    <x v="3"/>
  </r>
  <r>
    <x v="1"/>
    <d v="1967-05-20T00:00:00"/>
    <d v="1994-12-01T00:00:00"/>
    <x v="0"/>
  </r>
  <r>
    <x v="1"/>
    <d v="1969-11-29T00:00:00"/>
    <d v="1998-09-01T00:00:00"/>
    <x v="0"/>
  </r>
  <r>
    <x v="0"/>
    <d v="1971-12-20T00:00:00"/>
    <d v="1996-05-01T00:00:00"/>
    <x v="0"/>
  </r>
  <r>
    <x v="0"/>
    <d v="1977-11-30T00:00:00"/>
    <d v="2001-01-01T00:00:00"/>
    <x v="0"/>
  </r>
  <r>
    <x v="1"/>
    <d v="1978-03-18T00:00:00"/>
    <d v="2012-06-01T00:00:00"/>
    <x v="0"/>
  </r>
  <r>
    <x v="1"/>
    <d v="1978-07-16T00:00:00"/>
    <d v="2002-11-01T00:00:00"/>
    <x v="0"/>
  </r>
  <r>
    <x v="0"/>
    <d v="1980-11-22T00:00:00"/>
    <d v="2019-08-01T00:00:00"/>
    <x v="1"/>
  </r>
  <r>
    <x v="1"/>
    <d v="1981-04-20T00:00:00"/>
    <d v="2016-05-01T00:00:00"/>
    <x v="1"/>
  </r>
  <r>
    <x v="0"/>
    <d v="1983-01-28T00:00:00"/>
    <d v="2006-12-01T00:00:00"/>
    <x v="1"/>
  </r>
  <r>
    <x v="0"/>
    <d v="1983-03-12T00:00:00"/>
    <d v="2018-12-01T00:00:00"/>
    <x v="2"/>
  </r>
  <r>
    <x v="1"/>
    <d v="1984-08-23T00:00:00"/>
    <d v="2008-08-01T00:00:00"/>
    <x v="2"/>
  </r>
  <r>
    <x v="0"/>
    <d v="1987-12-06T00:00:00"/>
    <d v="2014-03-01T00:00:00"/>
    <x v="3"/>
  </r>
  <r>
    <x v="0"/>
    <d v="1989-11-03T00:00:00"/>
    <d v="2014-09-01T00:00:00"/>
    <x v="2"/>
  </r>
  <r>
    <x v="0"/>
    <d v="1990-10-12T00:00:00"/>
    <d v="2012-04-01T00:00:00"/>
    <x v="0"/>
  </r>
  <r>
    <x v="0"/>
    <d v="1991-08-04T00:00:00"/>
    <d v="2018-01-01T00:00:00"/>
    <x v="0"/>
  </r>
  <r>
    <x v="0"/>
    <d v="1992-09-08T00:00:00"/>
    <d v="2016-08-01T00:00:00"/>
    <x v="0"/>
  </r>
  <r>
    <x v="1"/>
    <d v="1994-06-17T00:00:00"/>
    <d v="2015-06-01T00:00:00"/>
    <x v="0"/>
  </r>
  <r>
    <x v="0"/>
    <d v="1994-12-30T00:00:00"/>
    <d v="2015-06-01T00:00:00"/>
    <x v="0"/>
  </r>
  <r>
    <x v="1"/>
    <d v="1998-09-27T00:00:00"/>
    <d v="2018-07-01T00:00:00"/>
    <x v="0"/>
  </r>
  <r>
    <x v="0"/>
    <d v="1994-10-26T00:00:00"/>
    <d v="2013-03-01T00:00:00"/>
    <x v="2"/>
  </r>
  <r>
    <x v="1"/>
    <d v="1978-03-19T00:00:00"/>
    <d v="2001-01-01T00:00:00"/>
    <x v="3"/>
  </r>
  <r>
    <x v="0"/>
    <d v="1981-04-28T00:00:00"/>
    <d v="2016-05-01T00:00:00"/>
    <x v="0"/>
  </r>
  <r>
    <x v="0"/>
    <d v="1983-09-04T00:00:00"/>
    <d v="2018-12-01T00:00:00"/>
    <x v="0"/>
  </r>
  <r>
    <x v="0"/>
    <d v="1999-01-13T00:00:00"/>
    <d v="2019-06-01T00:00:00"/>
    <x v="0"/>
  </r>
  <r>
    <x v="0"/>
    <d v="1990-04-17T00:00:00"/>
    <d v="2014-09-01T00:00:00"/>
    <x v="2"/>
  </r>
  <r>
    <x v="1"/>
    <d v="1994-08-14T00:00:00"/>
    <d v="2015-06-01T00:00:00"/>
    <x v="1"/>
  </r>
  <r>
    <x v="0"/>
    <d v="1984-10-26T00:00:00"/>
    <d v="2008-08-01T00:00:00"/>
    <x v="0"/>
  </r>
  <r>
    <x v="1"/>
    <d v="1972-04-11T00:00:00"/>
    <d v="1996-05-01T00:00:00"/>
    <x v="1"/>
  </r>
  <r>
    <x v="0"/>
    <d v="1992-06-21T00:00:00"/>
    <d v="2017-06-01T00:00:00"/>
    <x v="0"/>
  </r>
  <r>
    <x v="1"/>
    <d v="1978-07-12T00:00:00"/>
    <d v="2012-06-01T00:00:00"/>
    <x v="1"/>
  </r>
  <r>
    <x v="1"/>
    <d v="1960-12-17T00:00:00"/>
    <d v="1979-03-01T00:00:00"/>
    <x v="0"/>
  </r>
  <r>
    <x v="1"/>
    <d v="1995-04-18T00:00:00"/>
    <d v="2015-06-01T00:00:00"/>
    <x v="1"/>
  </r>
  <r>
    <x v="0"/>
    <d v="1993-07-15T00:00:00"/>
    <d v="2014-12-01T00:00:00"/>
    <x v="2"/>
  </r>
  <r>
    <x v="1"/>
    <d v="1998-07-14T00:00:00"/>
    <d v="2018-07-01T00:00:00"/>
    <x v="2"/>
  </r>
  <r>
    <x v="0"/>
    <d v="1983-02-17T00:00:00"/>
    <d v="2006-12-01T00:00:00"/>
    <x v="1"/>
  </r>
  <r>
    <x v="0"/>
    <d v="1973-11-22T00:00:00"/>
    <d v="2002-01-01T00:00:00"/>
    <x v="2"/>
  </r>
  <r>
    <x v="1"/>
    <d v="1991-11-25T00:00:00"/>
    <d v="2019-01-01T00:00:00"/>
    <x v="0"/>
  </r>
  <r>
    <x v="1"/>
    <d v="1965-07-31T00:00:00"/>
    <d v="1989-07-01T00:00:00"/>
    <x v="2"/>
  </r>
  <r>
    <x v="0"/>
    <d v="1981-09-01T00:00:00"/>
    <d v="2018-08-01T00:00:00"/>
    <x v="1"/>
  </r>
  <r>
    <x v="1"/>
    <d v="1979-07-26T00:00:00"/>
    <d v="2010-07-01T00:00:00"/>
    <x v="0"/>
  </r>
  <r>
    <x v="0"/>
    <d v="1967-06-14T00:00:00"/>
    <d v="1994-12-01T00:00:00"/>
    <x v="0"/>
  </r>
  <r>
    <x v="0"/>
    <d v="1996-08-23T00:00:00"/>
    <d v="2021-09-01T00:00:00"/>
    <x v="2"/>
  </r>
  <r>
    <x v="0"/>
    <d v="1966-01-11T00:00:00"/>
    <d v="1990-11-01T00:00:00"/>
    <x v="0"/>
  </r>
  <r>
    <x v="1"/>
    <d v="1986-05-26T00:00:00"/>
    <d v="2013-11-01T00:00:00"/>
    <x v="2"/>
  </r>
  <r>
    <x v="0"/>
    <d v="1988-01-19T00:00:00"/>
    <d v="2014-03-01T00:00:00"/>
    <x v="3"/>
  </r>
  <r>
    <x v="1"/>
    <d v="1965-12-04T00:00:00"/>
    <d v="1983-02-01T00:00:00"/>
    <x v="0"/>
  </r>
  <r>
    <x v="1"/>
    <d v="1978-12-10T00:00:00"/>
    <d v="2002-11-01T00:00:00"/>
    <x v="1"/>
  </r>
  <r>
    <x v="1"/>
    <d v="1986-01-11T00:00:00"/>
    <d v="2005-10-01T00:00:00"/>
    <x v="1"/>
  </r>
  <r>
    <x v="0"/>
    <d v="1981-01-05T00:00:00"/>
    <d v="2021-09-01T00:00:00"/>
    <x v="1"/>
  </r>
  <r>
    <x v="0"/>
    <d v="1990-12-11T00:00:00"/>
    <d v="2012-04-01T00:00:00"/>
    <x v="0"/>
  </r>
  <r>
    <x v="1"/>
    <d v="1992-09-25T00:00:00"/>
    <d v="2016-08-01T00:00:00"/>
    <x v="0"/>
  </r>
  <r>
    <x v="1"/>
    <d v="1989-04-13T00:00:00"/>
    <d v="2021-08-01T00:00: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eau croisé dynamique8" cacheId="4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J47:AM53" firstHeaderRow="1" firstDataRow="2" firstDataCol="1"/>
  <pivotFields count="4">
    <pivotField axis="axisCol" dataField="1" showAll="0">
      <items count="3">
        <item x="1"/>
        <item x="0"/>
        <item t="default"/>
      </items>
    </pivotField>
    <pivotField numFmtId="165" showAll="0"/>
    <pivotField numFmtId="165" showAll="0"/>
    <pivotField axis="axisRow" showAll="0">
      <items count="5">
        <item x="0"/>
        <item x="1"/>
        <item x="2"/>
        <item x="3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Nombre de Sex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eau croisé dynamique11" cacheId="4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J23:AM29" firstHeaderRow="1" firstDataRow="2" firstDataCol="1"/>
  <pivotFields count="4">
    <pivotField axis="axisCol" showAll="0">
      <items count="3">
        <item x="1"/>
        <item x="0"/>
        <item t="default"/>
      </items>
    </pivotField>
    <pivotField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Nombre de D_Arrivé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10" cacheId="4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J32:AK37" firstHeaderRow="1" firstDataRow="1" firstDataCol="1"/>
  <pivotFields count="3">
    <pivotField axis="axisRow" showAll="0">
      <items count="5">
        <item x="0"/>
        <item x="1"/>
        <item x="2"/>
        <item x="3"/>
        <item t="default"/>
      </items>
    </pivotField>
    <pivotField numFmtId="3" showAll="0"/>
    <pivotField dataField="1" showAll="0">
      <items count="18">
        <item x="0"/>
        <item x="4"/>
        <item x="3"/>
        <item x="6"/>
        <item x="7"/>
        <item x="13"/>
        <item x="12"/>
        <item x="8"/>
        <item x="2"/>
        <item x="16"/>
        <item x="11"/>
        <item x="9"/>
        <item x="1"/>
        <item x="14"/>
        <item x="5"/>
        <item x="10"/>
        <item x="15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me de Absenteism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eau croisé dynamique9" cacheId="42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J41:AK44" firstHeaderRow="1" firstDataRow="1" firstDataCol="1"/>
  <pivotFields count="4">
    <pivotField axis="axisRow" showAll="0">
      <items count="3">
        <item x="1"/>
        <item x="0"/>
        <item t="default"/>
      </items>
    </pivotField>
    <pivotField numFmtId="165" showAll="0"/>
    <pivotField numFmtId="165" showAll="0"/>
    <pivotField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omme de Statu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BS" displayName="TableauBS" ref="C5:U85" totalsRowShown="0" headerRowDxfId="74" dataDxfId="73" tableBorderDxfId="72">
  <autoFilter ref="C5:U85" xr:uid="{00000000-0009-0000-0100-000001000000}"/>
  <tableColumns count="19">
    <tableColumn id="1" xr3:uid="{00000000-0010-0000-0000-000001000000}" name="NOM Prenom" dataDxfId="71"/>
    <tableColumn id="2" xr3:uid="{00000000-0010-0000-0000-000002000000}" name="Sexe" dataDxfId="70"/>
    <tableColumn id="3" xr3:uid="{00000000-0010-0000-0000-000003000000}" name="D_Nais" dataDxfId="69"/>
    <tableColumn id="4" xr3:uid="{00000000-0010-0000-0000-000004000000}" name="D_Arrivée" dataDxfId="68"/>
    <tableColumn id="5" xr3:uid="{00000000-0010-0000-0000-000005000000}" name="Statut" dataDxfId="67"/>
    <tableColumn id="14" xr3:uid="{00000000-0010-0000-0000-00000E000000}" name="Statut " dataDxfId="66">
      <calculatedColumnFormula>VLOOKUP(TableauBS[[#This Row],[Statut]],$AE$23:$AF$26,2,FALSE)</calculatedColumnFormula>
    </tableColumn>
    <tableColumn id="6" xr3:uid="{00000000-0010-0000-0000-000006000000}" name="Salaire/an" dataDxfId="65"/>
    <tableColumn id="7" xr3:uid="{00000000-0010-0000-0000-000007000000}" name="Absenteisme" dataDxfId="64"/>
    <tableColumn id="19" xr3:uid="{00000000-0010-0000-0000-000013000000}" name="Colonne2" dataDxfId="63">
      <calculatedColumnFormula>IF(TableauBS[[#This Row],[Absenteisme]]=0,"",1)</calculatedColumnFormula>
    </tableColumn>
    <tableColumn id="8" xr3:uid="{00000000-0010-0000-0000-000008000000}" name="Tps%" dataDxfId="62"/>
    <tableColumn id="9" xr3:uid="{00000000-0010-0000-0000-000009000000}" name="D_Sortie" dataDxfId="61"/>
    <tableColumn id="10" xr3:uid="{00000000-0010-0000-0000-00000A000000}" name="Motif_Sortie" dataDxfId="60"/>
    <tableColumn id="15" xr3:uid="{00000000-0010-0000-0000-00000F000000}" name="Motif sortie " dataDxfId="59">
      <calculatedColumnFormula>VLOOKUP(TableauBS[[#This Row],[Motif_Sortie]],$AE$34:$AI$40,2,FALSE)</calculatedColumnFormula>
    </tableColumn>
    <tableColumn id="11" xr3:uid="{00000000-0010-0000-0000-00000B000000}" name="NOM Prenom " dataDxfId="58">
      <calculatedColumnFormula>C6</calculatedColumnFormula>
    </tableColumn>
    <tableColumn id="17" xr3:uid="{00000000-0010-0000-0000-000011000000}" name="ancienneté" dataDxfId="57">
      <calculatedColumnFormula>($J$3-TableauBS[[#This Row],[D_Arrivée]])/365.25</calculatedColumnFormula>
    </tableColumn>
    <tableColumn id="18" xr3:uid="{00000000-0010-0000-0000-000012000000}" name="Colonne1" dataDxfId="56">
      <calculatedColumnFormula>IF(Q6&lt;=$X$14,1,IF(Q6&lt;=$X$15,2,IF(Q6&lt;=$X$16,3,IF(Q6&lt;=$X$17,4,IF(Q6&lt;=$X$18,5,6)))))</calculatedColumnFormula>
    </tableColumn>
    <tableColumn id="12" xr3:uid="{00000000-0010-0000-0000-00000C000000}" name="Age" dataDxfId="55">
      <calculatedColumnFormula>($J$3-E6)/365.25</calculatedColumnFormula>
    </tableColumn>
    <tableColumn id="13" xr3:uid="{00000000-0010-0000-0000-00000D000000}" name="Categorie age " dataDxfId="54">
      <calculatedColumnFormula>IF(S6&lt;=$X$6,1,IF(S6&lt;=$X$7,2,IF(S6&lt;=$X$8,3,IF(S6&lt;=$X$10,4,5))))</calculatedColumnFormula>
    </tableColumn>
    <tableColumn id="16" xr3:uid="{00000000-0010-0000-0000-000010000000}" name="Tranches age " dataDxfId="53">
      <calculatedColumnFormula>VLOOKUP(TableauBS[[#This Row],[Categorie age ]],$W$6:$Z$10,3,FALSE)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au10" displayName="Tableau10" ref="C308:D313" totalsRowShown="0">
  <autoFilter ref="C308:D313" xr:uid="{00000000-0009-0000-0100-00000A000000}"/>
  <tableColumns count="2">
    <tableColumn id="1" xr3:uid="{00000000-0010-0000-0900-000001000000}" name="Statut" dataDxfId="16"/>
    <tableColumn id="2" xr3:uid="{00000000-0010-0000-0900-000002000000}" name="Nombre" dataDxf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au11" displayName="Tableau11" ref="C320:D322" totalsRowShown="0">
  <autoFilter ref="C320:D322" xr:uid="{00000000-0009-0000-0100-00000B000000}"/>
  <tableColumns count="2">
    <tableColumn id="1" xr3:uid="{00000000-0010-0000-0A00-000001000000}" name="Genre " dataDxfId="14"/>
    <tableColumn id="2" xr3:uid="{00000000-0010-0000-0A00-000002000000}" name="Nombre" dataDxfId="13">
      <calculatedColumnFormula>COUNTIF(D70:D85,Tableau11[[#This Row],[Genre 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au12" displayName="Tableau12" ref="C329:D336" totalsRowShown="0">
  <autoFilter ref="C329:D336" xr:uid="{00000000-0009-0000-0100-00000C000000}"/>
  <tableColumns count="2">
    <tableColumn id="1" xr3:uid="{00000000-0010-0000-0B00-000001000000}" name="Motifs "/>
    <tableColumn id="2" xr3:uid="{00000000-0010-0000-0B00-000002000000}" name="Nombre" dataDxfId="12">
      <calculatedColumnFormula>COUNTIF($O$70:$O$85,Tableau12[[#This Row],[Motifs 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au13" displayName="Tableau13" ref="C347:D352" totalsRowShown="0">
  <autoFilter ref="C347:D352" xr:uid="{00000000-0009-0000-0100-00000D000000}"/>
  <tableColumns count="2">
    <tableColumn id="1" xr3:uid="{00000000-0010-0000-0C00-000001000000}" name="Tranche d'age " dataDxfId="11">
      <calculatedColumnFormula>Y6</calculatedColumnFormula>
    </tableColumn>
    <tableColumn id="2" xr3:uid="{00000000-0010-0000-0C00-000002000000}" name="Nombre " dataDxfId="10">
      <calculatedColumnFormula>COUNTIF($U$70:$U$85,Tableau13[[#This Row],[Tranche d''age 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au15" displayName="Tableau15" ref="C364:E366" totalsRowShown="0">
  <autoFilter ref="C364:E366" xr:uid="{00000000-0009-0000-0100-00000F000000}"/>
  <tableColumns count="3">
    <tableColumn id="1" xr3:uid="{00000000-0010-0000-0D00-000001000000}" name="Genre " dataDxfId="9"/>
    <tableColumn id="2" xr3:uid="{00000000-0010-0000-0D00-000002000000}" name="Nombre de  personne " dataDxfId="8">
      <calculatedColumnFormula>COUNTIFS(TableauBS[Sexe],Tableau15[[#This Row],[Genre ]],TableauBS[Colonne2],1)</calculatedColumnFormula>
    </tableColumn>
    <tableColumn id="3" xr3:uid="{00000000-0010-0000-0D00-000003000000}" name="Nombre de jours " dataDxfId="7">
      <calculatedColumnFormula>SUMIFS(TableauBS[Absenteisme],TableauBS[Sexe],Tableau15[[#This Row],[Genre 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au16" displayName="Tableau16" ref="C373:F377" totalsRowShown="0">
  <autoFilter ref="C373:F377" xr:uid="{00000000-0009-0000-0100-000010000000}"/>
  <tableColumns count="4">
    <tableColumn id="1" xr3:uid="{00000000-0010-0000-0E00-000001000000}" name="Statut "/>
    <tableColumn id="2" xr3:uid="{00000000-0010-0000-0E00-000002000000}" name="Nombre de personne " dataDxfId="6">
      <calculatedColumnFormula>SUMIFS(TableauBS[Colonne2],TableauBS[[Statut ]],Tableau16[[#This Row],[Statut ]])</calculatedColumnFormula>
    </tableColumn>
    <tableColumn id="3" xr3:uid="{00000000-0010-0000-0E00-000003000000}" name="Nombre de jours ABS" dataDxfId="5">
      <calculatedColumnFormula>SUMIFS(TableauBS[Absenteisme],TableauBS[[Statut ]],Tableau16[[#This Row],[Statut ]])</calculatedColumnFormula>
    </tableColumn>
    <tableColumn id="4" xr3:uid="{00000000-0010-0000-0E00-000004000000}" name="en %" dataDxfId="4" dataCellStyle="Pourcentage">
      <calculatedColumnFormula>Tableau16[[#This Row],[Nombre de jours ABS]]/(D123*360)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au17" displayName="Tableau17" ref="C388:D390" totalsRowShown="0">
  <autoFilter ref="C388:D390" xr:uid="{00000000-0009-0000-0100-000011000000}"/>
  <tableColumns count="2">
    <tableColumn id="1" xr3:uid="{00000000-0010-0000-0F00-000001000000}" name="Genre" dataDxfId="3"/>
    <tableColumn id="2" xr3:uid="{00000000-0010-0000-0F00-000002000000}" name="Masse salariale " dataDxfId="2">
      <calculatedColumnFormula>SUMIFS(TableauBS[Salaire/an],TableauBS[Sexe],Tableau17[[#This Row],[Genre]])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au18" displayName="Tableau18" ref="C395:D399" totalsRowShown="0">
  <autoFilter ref="C395:D399" xr:uid="{00000000-0009-0000-0100-000012000000}"/>
  <tableColumns count="2">
    <tableColumn id="1" xr3:uid="{00000000-0010-0000-1000-000001000000}" name="Statut "/>
    <tableColumn id="2" xr3:uid="{00000000-0010-0000-1000-000002000000}" name="Masse salariale " dataDxfId="1">
      <calculatedColumnFormula>SUMIFS(TableauBS[Salaire/an],TableauBS[[Statut ]],C396)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au19" displayName="Tableau19" ref="C109:D111" totalsRowShown="0">
  <autoFilter ref="C109:D111" xr:uid="{00000000-0009-0000-0100-000013000000}"/>
  <tableColumns count="2">
    <tableColumn id="1" xr3:uid="{00000000-0010-0000-1100-000001000000}" name="genre"/>
    <tableColumn id="2" xr3:uid="{00000000-0010-0000-1100-000002000000}" name="Nombre" dataDxfId="0">
      <calculatedColumnFormula>COUNTIF($D$5:$D$69,C110)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C122:D126" totalsRowShown="0">
  <autoFilter ref="C122:D126" xr:uid="{00000000-0009-0000-0100-000002000000}"/>
  <tableColumns count="2">
    <tableColumn id="1" xr3:uid="{00000000-0010-0000-0100-000001000000}" name="Statut " dataDxfId="52"/>
    <tableColumn id="2" xr3:uid="{00000000-0010-0000-0100-000002000000}" name="Nombre " dataDxfId="51">
      <calculatedColumnFormula>COUNTIFS(H5:H69,C123)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au6" displayName="Tableau6" ref="C150:L156" totalsRowShown="0" headerRowDxfId="50" dataDxfId="49">
  <autoFilter ref="C150:L156" xr:uid="{00000000-0009-0000-0100-000006000000}"/>
  <tableColumns count="10">
    <tableColumn id="1" xr3:uid="{00000000-0010-0000-0200-000001000000}" name="Categorie age " dataDxfId="48"/>
    <tableColumn id="2" xr3:uid="{00000000-0010-0000-0200-000002000000}" name="Tranches age " dataDxfId="47">
      <calculatedColumnFormula>VLOOKUP(C151,$W$6:$Z$10,3,FALSE)</calculatedColumnFormula>
    </tableColumn>
    <tableColumn id="3" xr3:uid="{00000000-0010-0000-0200-000003000000}" name="Ouvrier" dataDxfId="46"/>
    <tableColumn id="4" xr3:uid="{00000000-0010-0000-0200-000004000000}" name="Ouvrier " dataDxfId="45"/>
    <tableColumn id="5" xr3:uid="{00000000-0010-0000-0200-000005000000}" name="Employé" dataDxfId="44"/>
    <tableColumn id="6" xr3:uid="{00000000-0010-0000-0200-000006000000}" name="Employé " dataDxfId="43"/>
    <tableColumn id="7" xr3:uid="{00000000-0010-0000-0200-000007000000}" name="Cadre"/>
    <tableColumn id="8" xr3:uid="{00000000-0010-0000-0200-000008000000}" name="Cadre " dataDxfId="42"/>
    <tableColumn id="9" xr3:uid="{00000000-0010-0000-0200-000009000000}" name="Directeur" dataDxfId="41"/>
    <tableColumn id="10" xr3:uid="{00000000-0010-0000-0200-00000A000000}" name="Directeur " dataDxfId="4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au3" displayName="Tableau3" ref="C137:E141" totalsRowShown="0">
  <autoFilter ref="C137:E141" xr:uid="{00000000-0009-0000-0100-000003000000}"/>
  <tableColumns count="3">
    <tableColumn id="1" xr3:uid="{00000000-0010-0000-0300-000001000000}" name="Statut" dataDxfId="39"/>
    <tableColumn id="2" xr3:uid="{00000000-0010-0000-0300-000002000000}" name="F" dataDxfId="38">
      <calculatedColumnFormula>COUNTIFS($D$6:$D$69,Tableau3[[#Headers],[F]],$H$6:$H$69,C138)</calculatedColumnFormula>
    </tableColumn>
    <tableColumn id="3" xr3:uid="{00000000-0010-0000-0300-000003000000}" name="M" dataDxfId="37">
      <calculatedColumnFormula>COUNTIFS($H$6:$H$69,Tableau3[[#This Row],[Statut]],$D$6:$D$69,Tableau3[[#Headers],[M]])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au7" displayName="Tableau7" ref="C180:F185" totalsRowShown="0">
  <autoFilter ref="C180:F185" xr:uid="{00000000-0009-0000-0100-000007000000}"/>
  <tableColumns count="4">
    <tableColumn id="1" xr3:uid="{00000000-0010-0000-0400-000001000000}" name="Temps plein/ partiel " dataDxfId="36"/>
    <tableColumn id="2" xr3:uid="{00000000-0010-0000-0400-000002000000}" name="F" dataDxfId="35">
      <calculatedColumnFormula>COUNTIFS($D$6:$D$69,Tableau7[[#Headers],[F]],$L$6:$L$69,C181)</calculatedColumnFormula>
    </tableColumn>
    <tableColumn id="3" xr3:uid="{00000000-0010-0000-0400-000003000000}" name="M" dataDxfId="34">
      <calculatedColumnFormula>COUNTIFS($D$6:$D$69,Tableau7[[#Headers],[M]],$L$6:$L$69,C181)</calculatedColumnFormula>
    </tableColumn>
    <tableColumn id="4" xr3:uid="{00000000-0010-0000-0400-000004000000}" name="Total General " dataDxfId="33">
      <calculatedColumnFormula>Tableau7[[#This Row],[F]]+Tableau7[[#This Row],[M]]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au4" displayName="Tableau4" ref="C205:F210" totalsRowShown="0" tableBorderDxfId="32">
  <autoFilter ref="C205:F210" xr:uid="{00000000-0009-0000-0100-000004000000}"/>
  <tableColumns count="4">
    <tableColumn id="1" xr3:uid="{00000000-0010-0000-0500-000001000000}" name="Tranche age " dataDxfId="31">
      <calculatedColumnFormula>Y6</calculatedColumnFormula>
    </tableColumn>
    <tableColumn id="2" xr3:uid="{00000000-0010-0000-0500-000002000000}" name="F" dataDxfId="30">
      <calculatedColumnFormula>COUNTIFS($D$6:$D$69,D$205,$U$6:$U$69,C206)</calculatedColumnFormula>
    </tableColumn>
    <tableColumn id="3" xr3:uid="{00000000-0010-0000-0500-000003000000}" name="M" dataDxfId="29">
      <calculatedColumnFormula>COUNTIFS($D$6:$D$69,E$205,$U$6:$U$69,$C206)</calculatedColumnFormula>
    </tableColumn>
    <tableColumn id="4" xr3:uid="{00000000-0010-0000-0500-000004000000}" name="F " dataDxfId="28">
      <calculatedColumnFormula>-Tableau4[[#This Row],[F]]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au5" displayName="Tableau5" ref="C240:F246" totalsRowShown="0">
  <autoFilter ref="C240:F246" xr:uid="{00000000-0009-0000-0100-000005000000}"/>
  <tableColumns count="4">
    <tableColumn id="1" xr3:uid="{00000000-0010-0000-0600-000001000000}" name="Tranche ancienneté " dataDxfId="27">
      <calculatedColumnFormula>Y13</calculatedColumnFormula>
    </tableColumn>
    <tableColumn id="2" xr3:uid="{00000000-0010-0000-0600-000002000000}" name="F" dataDxfId="26">
      <calculatedColumnFormula>COUNTIFS(D6:D69,Tableau5[[#Headers],[F]],R6:R69,B241)</calculatedColumnFormula>
    </tableColumn>
    <tableColumn id="3" xr3:uid="{00000000-0010-0000-0600-000003000000}" name="M" dataDxfId="25">
      <calculatedColumnFormula>COUNTIFS(D6:D69,Tableau5[[#Headers],[M]],R6:R69,B241)</calculatedColumnFormula>
    </tableColumn>
    <tableColumn id="4" xr3:uid="{00000000-0010-0000-0600-000004000000}" name="Total Géneral " dataDxfId="24">
      <calculatedColumnFormula>Tableau5[[#This Row],[F]]+Tableau5[[#This Row],[M]]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au8" displayName="Tableau8" ref="C266:H272" totalsRowShown="0">
  <autoFilter ref="C266:H272" xr:uid="{00000000-0009-0000-0100-000008000000}"/>
  <tableColumns count="6">
    <tableColumn id="1" xr3:uid="{00000000-0010-0000-0700-000001000000}" name="Tranche ancienneté "/>
    <tableColumn id="2" xr3:uid="{00000000-0010-0000-0700-000002000000}" name="Ouvrier" dataDxfId="23">
      <calculatedColumnFormula>COUNTIFS($H$6:$H$69,Tableau8[[#Headers],[Ouvrier]],$R$6:$R$69,B267)</calculatedColumnFormula>
    </tableColumn>
    <tableColumn id="3" xr3:uid="{00000000-0010-0000-0700-000003000000}" name="Employé" dataDxfId="22">
      <calculatedColumnFormula>COUNTIFS($H$6:$H$69,Tableau8[[#Headers],[Employé]],$R$6:$R$69,$B267)</calculatedColumnFormula>
    </tableColumn>
    <tableColumn id="4" xr3:uid="{00000000-0010-0000-0700-000004000000}" name="Cadre" dataDxfId="21">
      <calculatedColumnFormula>COUNTIFS($H$6:$H$69,Tableau8[[#Headers],[Cadre]],$R$6:$R$69,$B267)</calculatedColumnFormula>
    </tableColumn>
    <tableColumn id="5" xr3:uid="{00000000-0010-0000-0700-000005000000}" name="Directeur" dataDxfId="20">
      <calculatedColumnFormula>COUNTIFS($H$6:$H$69,Tableau8[[#Headers],[Directeur]],$R$6:$R$69,$B267)</calculatedColumnFormula>
    </tableColumn>
    <tableColumn id="6" xr3:uid="{00000000-0010-0000-0700-000006000000}" name="Total Géneral " dataDxfId="19">
      <calculatedColumnFormula>SUM(Tableau8[[#This Row],[Ouvrier]:[Directeur]])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au9" displayName="Tableau9" ref="C300:D302" totalsRowShown="0">
  <autoFilter ref="C300:D302" xr:uid="{00000000-0009-0000-0100-000009000000}"/>
  <tableColumns count="2">
    <tableColumn id="1" xr3:uid="{00000000-0010-0000-0800-000001000000}" name="Genre" dataDxfId="18"/>
    <tableColumn id="2" xr3:uid="{00000000-0010-0000-0800-000002000000}" name="Nombre " dataDxf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13" Type="http://schemas.openxmlformats.org/officeDocument/2006/relationships/table" Target="../tables/table7.xml"/><Relationship Id="rId18" Type="http://schemas.openxmlformats.org/officeDocument/2006/relationships/table" Target="../tables/table12.xml"/><Relationship Id="rId3" Type="http://schemas.openxmlformats.org/officeDocument/2006/relationships/pivotTable" Target="../pivotTables/pivotTable3.xml"/><Relationship Id="rId21" Type="http://schemas.openxmlformats.org/officeDocument/2006/relationships/table" Target="../tables/table15.xml"/><Relationship Id="rId7" Type="http://schemas.openxmlformats.org/officeDocument/2006/relationships/table" Target="../tables/table1.xml"/><Relationship Id="rId12" Type="http://schemas.openxmlformats.org/officeDocument/2006/relationships/table" Target="../tables/table6.xml"/><Relationship Id="rId17" Type="http://schemas.openxmlformats.org/officeDocument/2006/relationships/table" Target="../tables/table11.xml"/><Relationship Id="rId2" Type="http://schemas.openxmlformats.org/officeDocument/2006/relationships/pivotTable" Target="../pivotTables/pivotTable2.xml"/><Relationship Id="rId16" Type="http://schemas.openxmlformats.org/officeDocument/2006/relationships/table" Target="../tables/table10.xml"/><Relationship Id="rId20" Type="http://schemas.openxmlformats.org/officeDocument/2006/relationships/table" Target="../tables/table14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11" Type="http://schemas.openxmlformats.org/officeDocument/2006/relationships/table" Target="../tables/table5.xml"/><Relationship Id="rId24" Type="http://schemas.openxmlformats.org/officeDocument/2006/relationships/table" Target="../tables/table18.xml"/><Relationship Id="rId5" Type="http://schemas.openxmlformats.org/officeDocument/2006/relationships/printerSettings" Target="../printerSettings/printerSettings1.bin"/><Relationship Id="rId15" Type="http://schemas.openxmlformats.org/officeDocument/2006/relationships/table" Target="../tables/table9.xml"/><Relationship Id="rId23" Type="http://schemas.openxmlformats.org/officeDocument/2006/relationships/table" Target="../tables/table17.xml"/><Relationship Id="rId10" Type="http://schemas.openxmlformats.org/officeDocument/2006/relationships/table" Target="../tables/table4.xml"/><Relationship Id="rId19" Type="http://schemas.openxmlformats.org/officeDocument/2006/relationships/table" Target="../tables/table13.xml"/><Relationship Id="rId4" Type="http://schemas.openxmlformats.org/officeDocument/2006/relationships/pivotTable" Target="../pivotTables/pivotTable4.xml"/><Relationship Id="rId9" Type="http://schemas.openxmlformats.org/officeDocument/2006/relationships/table" Target="../tables/table3.xml"/><Relationship Id="rId14" Type="http://schemas.openxmlformats.org/officeDocument/2006/relationships/table" Target="../tables/table8.xml"/><Relationship Id="rId22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423"/>
  <sheetViews>
    <sheetView tabSelected="1" topLeftCell="B15" zoomScale="90" zoomScaleNormal="90" workbookViewId="0">
      <pane ySplit="1160" topLeftCell="A102" activePane="bottomLeft"/>
      <selection activeCell="A15" sqref="A1:A1048576"/>
      <selection pane="bottomLeft" activeCell="C137" sqref="C137:E142"/>
    </sheetView>
  </sheetViews>
  <sheetFormatPr baseColWidth="10" defaultRowHeight="13" x14ac:dyDescent="0.15"/>
  <cols>
    <col min="2" max="2" width="6.5" customWidth="1"/>
    <col min="3" max="3" width="24.5" customWidth="1"/>
    <col min="4" max="4" width="23.6640625" style="3" customWidth="1"/>
    <col min="5" max="5" width="23" style="1" customWidth="1"/>
    <col min="6" max="6" width="15.83203125" style="13" customWidth="1"/>
    <col min="7" max="7" width="11.6640625" style="3" customWidth="1"/>
    <col min="8" max="8" width="12.83203125" customWidth="1"/>
    <col min="9" max="9" width="16.1640625" style="3" customWidth="1"/>
    <col min="10" max="10" width="12" style="3" customWidth="1"/>
    <col min="11" max="11" width="11.6640625" style="13" customWidth="1"/>
    <col min="12" max="12" width="14.33203125" style="4" customWidth="1"/>
    <col min="13" max="13" width="16" style="4" customWidth="1"/>
    <col min="14" max="14" width="12.5" style="4" customWidth="1"/>
    <col min="15" max="15" width="16.83203125" style="112" customWidth="1"/>
    <col min="16" max="17" width="14.1640625" style="112" customWidth="1"/>
    <col min="18" max="18" width="7.5" style="112" customWidth="1"/>
    <col min="19" max="19" width="19.6640625" style="112" customWidth="1"/>
    <col min="20" max="20" width="10.83203125" style="112"/>
    <col min="21" max="21" width="22.1640625" style="112" customWidth="1"/>
    <col min="22" max="24" width="10.83203125" style="112"/>
    <col min="25" max="25" width="6.5" customWidth="1"/>
    <col min="27" max="27" width="5.5" customWidth="1"/>
    <col min="28" max="28" width="16.5" customWidth="1"/>
    <col min="29" max="29" width="15.1640625" customWidth="1"/>
    <col min="30" max="30" width="1.5" customWidth="1"/>
    <col min="31" max="31" width="3.83203125" customWidth="1"/>
    <col min="32" max="32" width="35" customWidth="1"/>
    <col min="33" max="33" width="29.83203125" customWidth="1"/>
    <col min="34" max="34" width="16.5" customWidth="1"/>
  </cols>
  <sheetData>
    <row r="1" spans="2:43" x14ac:dyDescent="0.15">
      <c r="B1" t="s">
        <v>185</v>
      </c>
    </row>
    <row r="2" spans="2:43" ht="14" thickBot="1" x14ac:dyDescent="0.2"/>
    <row r="3" spans="2:43" ht="19" thickBot="1" x14ac:dyDescent="0.25">
      <c r="C3" s="41" t="s">
        <v>52</v>
      </c>
      <c r="D3" s="28"/>
      <c r="F3" s="27" t="s">
        <v>164</v>
      </c>
      <c r="H3" s="278" t="s">
        <v>129</v>
      </c>
      <c r="I3" s="279"/>
      <c r="J3" s="29">
        <v>44561</v>
      </c>
      <c r="L3" s="26"/>
      <c r="M3" s="26"/>
      <c r="N3" s="26"/>
      <c r="O3" s="111"/>
      <c r="P3" s="111"/>
      <c r="Q3" s="111"/>
      <c r="R3" s="111"/>
      <c r="S3" s="111"/>
      <c r="T3" s="111"/>
      <c r="U3" s="111"/>
      <c r="V3" s="111"/>
      <c r="W3" s="111"/>
      <c r="X3" s="111"/>
      <c r="Z3" s="280" t="s">
        <v>131</v>
      </c>
      <c r="AA3" s="281"/>
      <c r="AB3" s="281"/>
      <c r="AC3" s="282"/>
    </row>
    <row r="4" spans="2:43" ht="14" thickBot="1" x14ac:dyDescent="0.2">
      <c r="Y4" s="2"/>
      <c r="Z4" s="2"/>
      <c r="AA4" s="2"/>
      <c r="AB4" s="2"/>
      <c r="AC4" s="2"/>
    </row>
    <row r="5" spans="2:43" s="2" customFormat="1" ht="14" thickBot="1" x14ac:dyDescent="0.2">
      <c r="C5" s="5" t="s">
        <v>0</v>
      </c>
      <c r="D5" s="6" t="s">
        <v>1</v>
      </c>
      <c r="E5" s="7" t="s">
        <v>2</v>
      </c>
      <c r="F5" s="11" t="s">
        <v>3</v>
      </c>
      <c r="G5" s="6" t="s">
        <v>5</v>
      </c>
      <c r="H5" s="6" t="s">
        <v>189</v>
      </c>
      <c r="I5" s="5" t="s">
        <v>7</v>
      </c>
      <c r="J5" s="6" t="s">
        <v>51</v>
      </c>
      <c r="K5" s="6" t="s">
        <v>236</v>
      </c>
      <c r="L5" s="6" t="s">
        <v>50</v>
      </c>
      <c r="M5" s="11" t="s">
        <v>4</v>
      </c>
      <c r="N5" s="144" t="s">
        <v>6</v>
      </c>
      <c r="O5" s="163" t="s">
        <v>192</v>
      </c>
      <c r="P5" s="149" t="s">
        <v>186</v>
      </c>
      <c r="Q5" s="149" t="s">
        <v>206</v>
      </c>
      <c r="R5" s="149" t="s">
        <v>205</v>
      </c>
      <c r="S5" s="149" t="s">
        <v>182</v>
      </c>
      <c r="T5" s="160" t="s">
        <v>184</v>
      </c>
      <c r="U5" s="149" t="s">
        <v>196</v>
      </c>
      <c r="V5" s="113"/>
      <c r="W5" s="113" t="s">
        <v>207</v>
      </c>
      <c r="X5" s="113"/>
      <c r="Y5" s="113"/>
      <c r="Z5" s="113"/>
      <c r="AA5" s="113"/>
      <c r="AB5" s="113"/>
      <c r="AC5" s="60"/>
      <c r="AD5" s="61" t="s">
        <v>116</v>
      </c>
      <c r="AE5" s="62"/>
      <c r="AF5" s="62"/>
      <c r="AG5" s="63"/>
      <c r="AJ5"/>
      <c r="AK5"/>
      <c r="AL5"/>
      <c r="AM5"/>
    </row>
    <row r="6" spans="2:43" x14ac:dyDescent="0.15">
      <c r="B6" s="1"/>
      <c r="C6" s="43" t="s">
        <v>10</v>
      </c>
      <c r="D6" s="44" t="s">
        <v>8</v>
      </c>
      <c r="E6" s="51">
        <v>29728</v>
      </c>
      <c r="F6" s="56">
        <v>38108</v>
      </c>
      <c r="G6" s="53">
        <v>1</v>
      </c>
      <c r="H6" s="53" t="str">
        <f>VLOOKUP(TableauBS[[#This Row],[Statut]],$AE$23:$AF$26,2,FALSE)</f>
        <v>Ouvrier</v>
      </c>
      <c r="I6" s="46">
        <v>28175</v>
      </c>
      <c r="J6" s="47">
        <v>0</v>
      </c>
      <c r="K6" s="47" t="str">
        <f>IF(TableauBS[[#This Row],[Absenteisme]]=0,"",1)</f>
        <v/>
      </c>
      <c r="L6" s="48">
        <v>1</v>
      </c>
      <c r="M6" s="45" t="s">
        <v>130</v>
      </c>
      <c r="N6" s="145" t="s">
        <v>130</v>
      </c>
      <c r="O6" s="146"/>
      <c r="P6" s="150" t="str">
        <f t="shared" ref="P6:P37" si="0">C6</f>
        <v>Individu_01</v>
      </c>
      <c r="Q6" s="151">
        <f>($J$3-TableauBS[[#This Row],[D_Arrivée]])/365.25</f>
        <v>17.66735112936345</v>
      </c>
      <c r="R6" s="161">
        <f t="shared" ref="R6:R37" si="1">IF(Q6&lt;=$X$14,1,IF(Q6&lt;=$X$15,2,IF(Q6&lt;=$X$16,3,IF(Q6&lt;=$X$17,4,IF(Q6&lt;=$X$18,5,6)))))</f>
        <v>3</v>
      </c>
      <c r="S6" s="151">
        <f t="shared" ref="S6:S37" si="2">($J$3-E6)/365.25</f>
        <v>40.610540725530456</v>
      </c>
      <c r="T6" s="161">
        <f t="shared" ref="T6:T37" si="3">IF(S6&lt;=$X$6,1,IF(S6&lt;=$X$7,2,IF(S6&lt;=$X$8,3,IF(S6&lt;=$X$10,4,5))))</f>
        <v>3</v>
      </c>
      <c r="U6" s="135" t="str">
        <f>VLOOKUP(TableauBS[[#This Row],[Categorie age ]],$W$6:$Z$10,3,FALSE)</f>
        <v>de 30 ans à 45ans</v>
      </c>
      <c r="V6" s="114"/>
      <c r="W6" s="116">
        <v>1</v>
      </c>
      <c r="X6" s="117">
        <v>20</v>
      </c>
      <c r="Y6" s="118" t="str">
        <f>"inferieur à "&amp;FIXED(X6,0)&amp;" ans "</f>
        <v xml:space="preserve">inferieur à 20 ans </v>
      </c>
      <c r="Z6" s="119"/>
      <c r="AA6" s="165">
        <f>COUNTIF(TableauBS[[Categorie age ]],1)</f>
        <v>0</v>
      </c>
      <c r="AB6" s="115"/>
      <c r="AC6" s="64"/>
      <c r="AD6" s="15" t="s">
        <v>117</v>
      </c>
      <c r="AE6" s="15"/>
      <c r="AF6" s="15"/>
      <c r="AG6" s="65"/>
      <c r="AJ6" s="2" t="s">
        <v>172</v>
      </c>
      <c r="AO6" s="1"/>
      <c r="AP6" s="50"/>
      <c r="AQ6" s="50"/>
    </row>
    <row r="7" spans="2:43" x14ac:dyDescent="0.15">
      <c r="B7" s="1"/>
      <c r="C7" s="49" t="s">
        <v>11</v>
      </c>
      <c r="D7" s="8" t="s">
        <v>9</v>
      </c>
      <c r="E7" s="52">
        <v>25428</v>
      </c>
      <c r="F7" s="55">
        <v>32721</v>
      </c>
      <c r="G7" s="54">
        <v>2</v>
      </c>
      <c r="H7" s="54" t="str">
        <f>VLOOKUP(TableauBS[[#This Row],[Statut]],$AE$23:$AF$26,2,FALSE)</f>
        <v>Employé</v>
      </c>
      <c r="I7" s="38">
        <v>21906</v>
      </c>
      <c r="J7" s="9">
        <v>24</v>
      </c>
      <c r="K7" s="9">
        <f>IF(TableauBS[[#This Row],[Absenteisme]]=0,"",1)</f>
        <v>1</v>
      </c>
      <c r="L7" s="10">
        <v>0.5</v>
      </c>
      <c r="M7" s="12" t="s">
        <v>130</v>
      </c>
      <c r="N7" s="146" t="s">
        <v>130</v>
      </c>
      <c r="O7" s="146"/>
      <c r="P7" s="150" t="str">
        <f t="shared" si="0"/>
        <v>Individu_02</v>
      </c>
      <c r="Q7" s="151">
        <f>($J$3-TableauBS[[#This Row],[D_Arrivée]])/365.25</f>
        <v>32.416153319644081</v>
      </c>
      <c r="R7" s="220">
        <f t="shared" si="1"/>
        <v>5</v>
      </c>
      <c r="S7" s="151">
        <f t="shared" si="2"/>
        <v>52.383299110198493</v>
      </c>
      <c r="T7" s="161">
        <f t="shared" si="3"/>
        <v>5</v>
      </c>
      <c r="U7" s="135" t="str">
        <f>VLOOKUP(TableauBS[[#This Row],[Categorie age ]],$W$6:$Z$10,3,FALSE)</f>
        <v xml:space="preserve">superieur à 50 ans </v>
      </c>
      <c r="V7" s="114"/>
      <c r="W7" s="120">
        <v>2</v>
      </c>
      <c r="X7" s="114">
        <v>30</v>
      </c>
      <c r="Y7" s="115" t="str">
        <f>"de "&amp;FIXED(X6,0)&amp;" ans à " &amp;FIXED(X7,0)&amp;"ans"</f>
        <v>de 20 ans à 30ans</v>
      </c>
      <c r="Z7" s="121"/>
      <c r="AA7" s="165">
        <f>COUNTIF(TableauBS[[Categorie age ]],2)</f>
        <v>19</v>
      </c>
      <c r="AB7" s="115"/>
      <c r="AC7" s="64"/>
      <c r="AD7" s="15"/>
      <c r="AE7" s="25" t="s">
        <v>128</v>
      </c>
      <c r="AF7" s="15" t="s">
        <v>121</v>
      </c>
      <c r="AG7" s="65"/>
      <c r="AO7" s="1"/>
      <c r="AP7" s="50"/>
      <c r="AQ7" s="50"/>
    </row>
    <row r="8" spans="2:43" x14ac:dyDescent="0.15">
      <c r="B8" s="1"/>
      <c r="C8" s="49" t="s">
        <v>12</v>
      </c>
      <c r="D8" s="8" t="s">
        <v>9</v>
      </c>
      <c r="E8" s="52">
        <v>28529</v>
      </c>
      <c r="F8" s="55">
        <v>37653</v>
      </c>
      <c r="G8" s="54">
        <v>2</v>
      </c>
      <c r="H8" s="54" t="str">
        <f>VLOOKUP(TableauBS[[#This Row],[Statut]],$AE$23:$AF$26,2,FALSE)</f>
        <v>Employé</v>
      </c>
      <c r="I8" s="38">
        <v>35152</v>
      </c>
      <c r="J8" s="9">
        <v>11</v>
      </c>
      <c r="K8" s="9">
        <f>IF(TableauBS[[#This Row],[Absenteisme]]=0,"",1)</f>
        <v>1</v>
      </c>
      <c r="L8" s="10">
        <v>1</v>
      </c>
      <c r="M8" s="12" t="s">
        <v>130</v>
      </c>
      <c r="N8" s="146" t="s">
        <v>130</v>
      </c>
      <c r="O8" s="146"/>
      <c r="P8" s="150" t="str">
        <f t="shared" si="0"/>
        <v>Individu_03</v>
      </c>
      <c r="Q8" s="151">
        <f>($J$3-TableauBS[[#This Row],[D_Arrivée]])/365.25</f>
        <v>18.913073237508556</v>
      </c>
      <c r="R8" s="220">
        <f t="shared" si="1"/>
        <v>3</v>
      </c>
      <c r="S8" s="151">
        <f t="shared" si="2"/>
        <v>43.893223819301845</v>
      </c>
      <c r="T8" s="161">
        <f t="shared" si="3"/>
        <v>3</v>
      </c>
      <c r="U8" s="135" t="str">
        <f>VLOOKUP(TableauBS[[#This Row],[Categorie age ]],$W$6:$Z$10,3,FALSE)</f>
        <v>de 30 ans à 45ans</v>
      </c>
      <c r="V8" s="114"/>
      <c r="W8" s="120">
        <v>3</v>
      </c>
      <c r="X8" s="114">
        <v>45</v>
      </c>
      <c r="Y8" s="115" t="str">
        <f>"de "&amp;FIXED(X7,0)&amp;" ans à " &amp;FIXED(X8,0)&amp;"ans"</f>
        <v>de 30 ans à 45ans</v>
      </c>
      <c r="Z8" s="121"/>
      <c r="AA8" s="165">
        <f>COUNTIF(TableauBS[[Categorie age ]],3)</f>
        <v>41</v>
      </c>
      <c r="AB8" s="115"/>
      <c r="AC8" s="64"/>
      <c r="AD8" s="15"/>
      <c r="AE8" s="15"/>
      <c r="AF8" s="15" t="s">
        <v>118</v>
      </c>
      <c r="AG8" s="65"/>
      <c r="AJ8" s="105" t="s">
        <v>8</v>
      </c>
      <c r="AK8" s="107">
        <f>COUNTIF(Données!AL7:AL70,Données!AL11)</f>
        <v>5</v>
      </c>
      <c r="AO8" s="1"/>
      <c r="AP8" s="50"/>
      <c r="AQ8" s="50"/>
    </row>
    <row r="9" spans="2:43" x14ac:dyDescent="0.15">
      <c r="B9" s="1"/>
      <c r="C9" s="49" t="s">
        <v>14</v>
      </c>
      <c r="D9" s="8" t="s">
        <v>8</v>
      </c>
      <c r="E9" s="52">
        <v>34611</v>
      </c>
      <c r="F9" s="55">
        <v>41334</v>
      </c>
      <c r="G9" s="54">
        <v>2</v>
      </c>
      <c r="H9" s="54" t="str">
        <f>VLOOKUP(TableauBS[[#This Row],[Statut]],$AE$23:$AF$26,2,FALSE)</f>
        <v>Employé</v>
      </c>
      <c r="I9" s="38">
        <v>28269</v>
      </c>
      <c r="J9" s="9">
        <v>0</v>
      </c>
      <c r="K9" s="9" t="str">
        <f>IF(TableauBS[[#This Row],[Absenteisme]]=0,"",1)</f>
        <v/>
      </c>
      <c r="L9" s="10">
        <v>1</v>
      </c>
      <c r="M9" s="12" t="s">
        <v>130</v>
      </c>
      <c r="N9" s="146" t="s">
        <v>130</v>
      </c>
      <c r="O9" s="146"/>
      <c r="P9" s="150" t="str">
        <f t="shared" si="0"/>
        <v>Individu_05</v>
      </c>
      <c r="Q9" s="151">
        <f>($J$3-TableauBS[[#This Row],[D_Arrivée]])/365.25</f>
        <v>8.8350444900752905</v>
      </c>
      <c r="R9" s="220">
        <f t="shared" si="1"/>
        <v>2</v>
      </c>
      <c r="S9" s="151">
        <f t="shared" si="2"/>
        <v>27.241615331964407</v>
      </c>
      <c r="T9" s="161">
        <f t="shared" si="3"/>
        <v>2</v>
      </c>
      <c r="U9" s="135" t="str">
        <f>VLOOKUP(TableauBS[[#This Row],[Categorie age ]],$W$6:$Z$10,3,FALSE)</f>
        <v>de 20 ans à 30ans</v>
      </c>
      <c r="V9" s="114"/>
      <c r="W9" s="120">
        <v>4</v>
      </c>
      <c r="X9" s="114">
        <v>50</v>
      </c>
      <c r="Y9" s="115" t="str">
        <f>"de "&amp;FIXED(X8,0)&amp;" ans à " &amp;FIXED(X9,0)&amp;"ans"</f>
        <v>de 45 ans à 50ans</v>
      </c>
      <c r="Z9" s="121"/>
      <c r="AA9" s="165">
        <f>COUNTIF(TableauBS[[Categorie age ]],4)</f>
        <v>3</v>
      </c>
      <c r="AB9" s="115"/>
      <c r="AC9" s="64"/>
      <c r="AD9" s="15"/>
      <c r="AE9" s="15"/>
      <c r="AF9" s="15" t="s">
        <v>119</v>
      </c>
      <c r="AG9" s="65"/>
      <c r="AJ9" s="106" t="s">
        <v>9</v>
      </c>
      <c r="AK9" s="101">
        <f>COUNTIF(Données!AL7:AL70,Données!AL81)</f>
        <v>5</v>
      </c>
      <c r="AO9" s="1"/>
      <c r="AP9" s="50"/>
      <c r="AQ9" s="50"/>
    </row>
    <row r="10" spans="2:43" ht="14" thickBot="1" x14ac:dyDescent="0.2">
      <c r="B10" s="1"/>
      <c r="C10" s="49" t="s">
        <v>15</v>
      </c>
      <c r="D10" s="8" t="s">
        <v>8</v>
      </c>
      <c r="E10" s="52">
        <v>26974</v>
      </c>
      <c r="F10" s="55">
        <v>37257</v>
      </c>
      <c r="G10" s="54">
        <v>3</v>
      </c>
      <c r="H10" s="54" t="str">
        <f>VLOOKUP(TableauBS[[#This Row],[Statut]],$AE$23:$AF$26,2,FALSE)</f>
        <v>Cadre</v>
      </c>
      <c r="I10" s="38">
        <v>49929</v>
      </c>
      <c r="J10" s="9">
        <v>2</v>
      </c>
      <c r="K10" s="9">
        <f>IF(TableauBS[[#This Row],[Absenteisme]]=0,"",1)</f>
        <v>1</v>
      </c>
      <c r="L10" s="10">
        <v>1</v>
      </c>
      <c r="M10" s="12" t="s">
        <v>130</v>
      </c>
      <c r="N10" s="146" t="s">
        <v>130</v>
      </c>
      <c r="O10" s="146"/>
      <c r="P10" s="150" t="str">
        <f t="shared" si="0"/>
        <v>Individu_06</v>
      </c>
      <c r="Q10" s="151">
        <f>($J$3-TableauBS[[#This Row],[D_Arrivée]])/365.25</f>
        <v>19.997262149212869</v>
      </c>
      <c r="R10" s="220">
        <f t="shared" si="1"/>
        <v>3</v>
      </c>
      <c r="S10" s="151">
        <f t="shared" si="2"/>
        <v>48.150581793292268</v>
      </c>
      <c r="T10" s="161">
        <f t="shared" si="3"/>
        <v>4</v>
      </c>
      <c r="U10" s="135" t="str">
        <f>VLOOKUP(TableauBS[[#This Row],[Categorie age ]],$W$6:$Z$10,3,FALSE)</f>
        <v>de 45 ans à 50ans</v>
      </c>
      <c r="V10" s="114"/>
      <c r="W10" s="122">
        <v>5</v>
      </c>
      <c r="X10" s="123">
        <v>50</v>
      </c>
      <c r="Y10" s="124" t="str">
        <f>"superieur à "&amp;FIXED(X10,0)&amp;" ans "</f>
        <v xml:space="preserve">superieur à 50 ans </v>
      </c>
      <c r="Z10" s="125"/>
      <c r="AA10" s="165">
        <f>COUNTIF(TableauBS[[Categorie age ]],5)</f>
        <v>17</v>
      </c>
      <c r="AB10" s="114"/>
      <c r="AC10" s="64"/>
      <c r="AD10" s="15"/>
      <c r="AE10" s="15"/>
      <c r="AF10" s="15" t="s">
        <v>107</v>
      </c>
      <c r="AG10" s="65"/>
      <c r="AJ10" s="3" t="s">
        <v>171</v>
      </c>
      <c r="AK10" s="3">
        <f>SUM(AK8:AK9)</f>
        <v>10</v>
      </c>
      <c r="AO10" s="1"/>
      <c r="AP10" s="50"/>
      <c r="AQ10" s="50"/>
    </row>
    <row r="11" spans="2:43" x14ac:dyDescent="0.15">
      <c r="B11" s="1"/>
      <c r="C11" s="49" t="s">
        <v>16</v>
      </c>
      <c r="D11" s="8" t="s">
        <v>8</v>
      </c>
      <c r="E11" s="52">
        <v>33679</v>
      </c>
      <c r="F11" s="55">
        <v>42887</v>
      </c>
      <c r="G11" s="54">
        <v>2</v>
      </c>
      <c r="H11" s="54" t="str">
        <f>VLOOKUP(TableauBS[[#This Row],[Statut]],$AE$23:$AF$26,2,FALSE)</f>
        <v>Employé</v>
      </c>
      <c r="I11" s="38">
        <v>20234</v>
      </c>
      <c r="J11" s="9">
        <v>1</v>
      </c>
      <c r="K11" s="9">
        <f>IF(TableauBS[[#This Row],[Absenteisme]]=0,"",1)</f>
        <v>1</v>
      </c>
      <c r="L11" s="10">
        <v>0.6</v>
      </c>
      <c r="M11" s="12" t="s">
        <v>130</v>
      </c>
      <c r="N11" s="146" t="s">
        <v>130</v>
      </c>
      <c r="O11" s="146"/>
      <c r="P11" s="150" t="str">
        <f t="shared" si="0"/>
        <v>Individu_07</v>
      </c>
      <c r="Q11" s="151">
        <f>($J$3-TableauBS[[#This Row],[D_Arrivée]])/365.25</f>
        <v>4.5831622176591376</v>
      </c>
      <c r="R11" s="220">
        <f t="shared" si="1"/>
        <v>1</v>
      </c>
      <c r="S11" s="151">
        <f t="shared" si="2"/>
        <v>29.793292265571527</v>
      </c>
      <c r="T11" s="161">
        <f t="shared" si="3"/>
        <v>2</v>
      </c>
      <c r="U11" s="135" t="str">
        <f>VLOOKUP(TableauBS[[#This Row],[Categorie age ]],$W$6:$Z$10,3,FALSE)</f>
        <v>de 20 ans à 30ans</v>
      </c>
      <c r="V11" s="114"/>
      <c r="W11" s="114"/>
      <c r="X11" s="114"/>
      <c r="Y11" s="114"/>
      <c r="Z11" s="114"/>
      <c r="AA11" s="114"/>
      <c r="AB11" s="114"/>
      <c r="AC11" s="64"/>
      <c r="AD11" s="15"/>
      <c r="AE11" s="15"/>
      <c r="AF11" s="15" t="s">
        <v>120</v>
      </c>
      <c r="AG11" s="65"/>
      <c r="AO11" s="1"/>
      <c r="AP11" s="50"/>
      <c r="AQ11" s="50"/>
    </row>
    <row r="12" spans="2:43" x14ac:dyDescent="0.15">
      <c r="B12" s="1"/>
      <c r="C12" s="49" t="s">
        <v>18</v>
      </c>
      <c r="D12" s="8" t="s">
        <v>9</v>
      </c>
      <c r="E12" s="52">
        <v>35275</v>
      </c>
      <c r="F12" s="55">
        <v>43678</v>
      </c>
      <c r="G12" s="54">
        <v>2</v>
      </c>
      <c r="H12" s="54" t="str">
        <f>VLOOKUP(TableauBS[[#This Row],[Statut]],$AE$23:$AF$26,2,FALSE)</f>
        <v>Employé</v>
      </c>
      <c r="I12" s="38">
        <v>31481</v>
      </c>
      <c r="J12" s="9">
        <v>0</v>
      </c>
      <c r="K12" s="9" t="str">
        <f>IF(TableauBS[[#This Row],[Absenteisme]]=0,"",1)</f>
        <v/>
      </c>
      <c r="L12" s="10">
        <v>1</v>
      </c>
      <c r="M12" s="12" t="s">
        <v>130</v>
      </c>
      <c r="N12" s="146" t="s">
        <v>130</v>
      </c>
      <c r="O12" s="146"/>
      <c r="P12" s="150" t="str">
        <f t="shared" si="0"/>
        <v>Individu_09</v>
      </c>
      <c r="Q12" s="151">
        <f>($J$3-TableauBS[[#This Row],[D_Arrivée]])/365.25</f>
        <v>2.4175222450376452</v>
      </c>
      <c r="R12" s="220">
        <f t="shared" si="1"/>
        <v>1</v>
      </c>
      <c r="S12" s="151">
        <f t="shared" si="2"/>
        <v>25.423682409308693</v>
      </c>
      <c r="T12" s="161">
        <f t="shared" si="3"/>
        <v>2</v>
      </c>
      <c r="U12" s="135" t="str">
        <f>VLOOKUP(TableauBS[[#This Row],[Categorie age ]],$W$6:$Z$10,3,FALSE)</f>
        <v>de 20 ans à 30ans</v>
      </c>
      <c r="V12" s="114"/>
      <c r="W12" s="209" t="s">
        <v>208</v>
      </c>
      <c r="X12" s="114"/>
      <c r="Y12" s="114"/>
      <c r="Z12" s="114"/>
      <c r="AA12" s="114"/>
      <c r="AB12" s="114"/>
      <c r="AC12" s="64"/>
      <c r="AD12" s="15" t="s">
        <v>122</v>
      </c>
      <c r="AE12" s="15"/>
      <c r="AF12" s="15"/>
      <c r="AG12" s="65"/>
      <c r="AJ12" s="2" t="s">
        <v>175</v>
      </c>
      <c r="AK12" s="2"/>
      <c r="AL12" s="2"/>
      <c r="AO12" s="1"/>
      <c r="AP12" s="50"/>
      <c r="AQ12" s="50"/>
    </row>
    <row r="13" spans="2:43" x14ac:dyDescent="0.15">
      <c r="B13" s="1"/>
      <c r="C13" s="49" t="s">
        <v>19</v>
      </c>
      <c r="D13" s="8" t="s">
        <v>9</v>
      </c>
      <c r="E13" s="52">
        <v>31383</v>
      </c>
      <c r="F13" s="55">
        <v>41579</v>
      </c>
      <c r="G13" s="54">
        <v>1</v>
      </c>
      <c r="H13" s="54" t="str">
        <f>VLOOKUP(TableauBS[[#This Row],[Statut]],$AE$23:$AF$26,2,FALSE)</f>
        <v>Ouvrier</v>
      </c>
      <c r="I13" s="38">
        <v>26961</v>
      </c>
      <c r="J13" s="9">
        <v>45</v>
      </c>
      <c r="K13" s="9">
        <f>IF(TableauBS[[#This Row],[Absenteisme]]=0,"",1)</f>
        <v>1</v>
      </c>
      <c r="L13" s="10">
        <v>1</v>
      </c>
      <c r="M13" s="12" t="s">
        <v>130</v>
      </c>
      <c r="N13" s="146" t="s">
        <v>130</v>
      </c>
      <c r="O13" s="146"/>
      <c r="P13" s="150" t="str">
        <f t="shared" si="0"/>
        <v>Individu_10</v>
      </c>
      <c r="Q13" s="151">
        <f>($J$3-TableauBS[[#This Row],[D_Arrivée]])/365.25</f>
        <v>8.1642710472279258</v>
      </c>
      <c r="R13" s="220">
        <f t="shared" si="1"/>
        <v>2</v>
      </c>
      <c r="S13" s="151">
        <f t="shared" si="2"/>
        <v>36.079397672826829</v>
      </c>
      <c r="T13" s="161">
        <f t="shared" si="3"/>
        <v>3</v>
      </c>
      <c r="U13" s="135" t="str">
        <f>VLOOKUP(TableauBS[[#This Row],[Categorie age ]],$W$6:$Z$10,3,FALSE)</f>
        <v>de 30 ans à 45ans</v>
      </c>
      <c r="V13" s="114"/>
      <c r="W13" s="211">
        <v>1</v>
      </c>
      <c r="X13" s="212">
        <v>0</v>
      </c>
      <c r="Y13" s="213" t="str">
        <f>"de "&amp;FIXED(X13,0)&amp;" ans à " &amp;FIXED(X14,0)&amp;"ans"</f>
        <v>de 0 ans à 5ans</v>
      </c>
      <c r="Z13" s="214"/>
      <c r="AA13" s="114"/>
      <c r="AB13" s="114"/>
      <c r="AC13" s="64"/>
      <c r="AD13" s="17" t="s">
        <v>123</v>
      </c>
      <c r="AE13" s="15"/>
      <c r="AF13" s="15"/>
      <c r="AG13" s="65"/>
      <c r="AO13" s="1"/>
      <c r="AP13" s="50"/>
      <c r="AQ13" s="50"/>
    </row>
    <row r="14" spans="2:43" x14ac:dyDescent="0.15">
      <c r="B14" s="1"/>
      <c r="C14" s="49" t="s">
        <v>20</v>
      </c>
      <c r="D14" s="8" t="s">
        <v>9</v>
      </c>
      <c r="E14" s="52">
        <v>31726</v>
      </c>
      <c r="F14" s="55">
        <v>38657</v>
      </c>
      <c r="G14" s="54">
        <v>1</v>
      </c>
      <c r="H14" s="54" t="str">
        <f>VLOOKUP(TableauBS[[#This Row],[Statut]],$AE$23:$AF$26,2,FALSE)</f>
        <v>Ouvrier</v>
      </c>
      <c r="I14" s="38">
        <v>26059</v>
      </c>
      <c r="J14" s="9">
        <v>0</v>
      </c>
      <c r="K14" s="9" t="str">
        <f>IF(TableauBS[[#This Row],[Absenteisme]]=0,"",1)</f>
        <v/>
      </c>
      <c r="L14" s="10">
        <v>1</v>
      </c>
      <c r="M14" s="12" t="s">
        <v>130</v>
      </c>
      <c r="N14" s="146" t="s">
        <v>130</v>
      </c>
      <c r="O14" s="146"/>
      <c r="P14" s="150" t="str">
        <f t="shared" si="0"/>
        <v>Individu_11</v>
      </c>
      <c r="Q14" s="151">
        <f>($J$3-TableauBS[[#This Row],[D_Arrivée]])/365.25</f>
        <v>16.164271047227928</v>
      </c>
      <c r="R14" s="220">
        <f t="shared" si="1"/>
        <v>3</v>
      </c>
      <c r="S14" s="151">
        <f t="shared" si="2"/>
        <v>35.140314852840518</v>
      </c>
      <c r="T14" s="161">
        <f t="shared" si="3"/>
        <v>3</v>
      </c>
      <c r="U14" s="135" t="str">
        <f>VLOOKUP(TableauBS[[#This Row],[Categorie age ]],$W$6:$Z$10,3,FALSE)</f>
        <v>de 30 ans à 45ans</v>
      </c>
      <c r="V14" s="114"/>
      <c r="W14" s="161">
        <v>2</v>
      </c>
      <c r="X14" s="114">
        <v>5</v>
      </c>
      <c r="Y14" s="115" t="str">
        <f t="shared" ref="Y14:Y17" si="4">"de "&amp;FIXED(X14,0)&amp;" ans à " &amp;FIXED(X15,0)&amp;"ans"</f>
        <v>de 5 ans à 10ans</v>
      </c>
      <c r="Z14" s="215"/>
      <c r="AA14" s="114"/>
      <c r="AB14" s="114"/>
      <c r="AC14" s="64"/>
      <c r="AD14" s="15"/>
      <c r="AE14" s="15"/>
      <c r="AF14" s="15" t="s">
        <v>124</v>
      </c>
      <c r="AG14" s="65"/>
      <c r="AJ14" s="97" t="s">
        <v>174</v>
      </c>
      <c r="AK14" s="97" t="s">
        <v>9</v>
      </c>
      <c r="AL14" s="97" t="s">
        <v>8</v>
      </c>
      <c r="AM14" s="94" t="s">
        <v>171</v>
      </c>
      <c r="AO14" s="1"/>
      <c r="AP14" s="50"/>
      <c r="AQ14" s="50"/>
    </row>
    <row r="15" spans="2:43" x14ac:dyDescent="0.15">
      <c r="B15" s="1"/>
      <c r="C15" s="49" t="s">
        <v>21</v>
      </c>
      <c r="D15" s="8" t="s">
        <v>9</v>
      </c>
      <c r="E15" s="52">
        <v>28910</v>
      </c>
      <c r="F15" s="55">
        <v>40360</v>
      </c>
      <c r="G15" s="54">
        <v>2</v>
      </c>
      <c r="H15" s="54" t="str">
        <f>VLOOKUP(TableauBS[[#This Row],[Statut]],$AE$23:$AF$26,2,FALSE)</f>
        <v>Employé</v>
      </c>
      <c r="I15" s="38">
        <v>16844</v>
      </c>
      <c r="J15" s="9">
        <v>0</v>
      </c>
      <c r="K15" s="9" t="str">
        <f>IF(TableauBS[[#This Row],[Absenteisme]]=0,"",1)</f>
        <v/>
      </c>
      <c r="L15" s="10">
        <v>0.5</v>
      </c>
      <c r="M15" s="12" t="s">
        <v>130</v>
      </c>
      <c r="N15" s="146" t="s">
        <v>130</v>
      </c>
      <c r="O15" s="146"/>
      <c r="P15" s="150" t="str">
        <f t="shared" si="0"/>
        <v>Individu_12</v>
      </c>
      <c r="Q15" s="151">
        <f>($J$3-TableauBS[[#This Row],[D_Arrivée]])/365.25</f>
        <v>11.501711156741958</v>
      </c>
      <c r="R15" s="220">
        <f t="shared" si="1"/>
        <v>3</v>
      </c>
      <c r="S15" s="151">
        <f t="shared" si="2"/>
        <v>42.850102669404521</v>
      </c>
      <c r="T15" s="161">
        <f t="shared" si="3"/>
        <v>3</v>
      </c>
      <c r="U15" s="135" t="str">
        <f>VLOOKUP(TableauBS[[#This Row],[Categorie age ]],$W$6:$Z$10,3,FALSE)</f>
        <v>de 30 ans à 45ans</v>
      </c>
      <c r="V15" s="114"/>
      <c r="W15" s="161">
        <v>3</v>
      </c>
      <c r="X15" s="114">
        <v>10</v>
      </c>
      <c r="Y15" s="115" t="str">
        <f t="shared" si="4"/>
        <v>de 10 ans à 20ans</v>
      </c>
      <c r="Z15" s="215"/>
      <c r="AA15" s="114"/>
      <c r="AB15" s="114"/>
      <c r="AC15" s="64"/>
      <c r="AD15" s="15"/>
      <c r="AE15" s="15"/>
      <c r="AF15" s="15" t="s">
        <v>125</v>
      </c>
      <c r="AG15" s="65"/>
      <c r="AJ15" s="97">
        <v>1</v>
      </c>
      <c r="AK15" s="98">
        <f>COUNTIFS(Données!$G$6:$G$69,$B15,Données!$D$6:$D$69,AK$13)</f>
        <v>0</v>
      </c>
      <c r="AL15" s="99">
        <f>COUNTIFS(Données!$G$6:$G$69,$B15,Données!$D$6:$D$69,AL$13)</f>
        <v>0</v>
      </c>
      <c r="AM15" s="95">
        <f>AK15+AL15</f>
        <v>0</v>
      </c>
      <c r="AO15" s="1"/>
      <c r="AP15" s="50"/>
      <c r="AQ15" s="50"/>
    </row>
    <row r="16" spans="2:43" x14ac:dyDescent="0.15">
      <c r="B16" s="1"/>
      <c r="C16" s="49" t="s">
        <v>22</v>
      </c>
      <c r="D16" s="8" t="s">
        <v>8</v>
      </c>
      <c r="E16" s="52">
        <v>34137</v>
      </c>
      <c r="F16" s="55">
        <v>41974</v>
      </c>
      <c r="G16" s="54">
        <v>2</v>
      </c>
      <c r="H16" s="54" t="str">
        <f>VLOOKUP(TableauBS[[#This Row],[Statut]],$AE$23:$AF$26,2,FALSE)</f>
        <v>Employé</v>
      </c>
      <c r="I16" s="38">
        <v>28882</v>
      </c>
      <c r="J16" s="9">
        <v>0</v>
      </c>
      <c r="K16" s="9" t="str">
        <f>IF(TableauBS[[#This Row],[Absenteisme]]=0,"",1)</f>
        <v/>
      </c>
      <c r="L16" s="10">
        <v>1</v>
      </c>
      <c r="M16" s="12" t="s">
        <v>130</v>
      </c>
      <c r="N16" s="146" t="s">
        <v>130</v>
      </c>
      <c r="O16" s="146"/>
      <c r="P16" s="150" t="str">
        <f t="shared" si="0"/>
        <v>Individu_13</v>
      </c>
      <c r="Q16" s="151">
        <f>($J$3-TableauBS[[#This Row],[D_Arrivée]])/365.25</f>
        <v>7.0828199863107457</v>
      </c>
      <c r="R16" s="220">
        <f t="shared" si="1"/>
        <v>2</v>
      </c>
      <c r="S16" s="151">
        <f t="shared" si="2"/>
        <v>28.539356605065024</v>
      </c>
      <c r="T16" s="161">
        <f t="shared" si="3"/>
        <v>2</v>
      </c>
      <c r="U16" s="135" t="str">
        <f>VLOOKUP(TableauBS[[#This Row],[Categorie age ]],$W$6:$Z$10,3,FALSE)</f>
        <v>de 20 ans à 30ans</v>
      </c>
      <c r="V16" s="114"/>
      <c r="W16" s="161">
        <v>4</v>
      </c>
      <c r="X16" s="114">
        <v>20</v>
      </c>
      <c r="Y16" s="115" t="str">
        <f t="shared" si="4"/>
        <v>de 20 ans à 30ans</v>
      </c>
      <c r="Z16" s="215"/>
      <c r="AA16" s="114"/>
      <c r="AB16" s="114"/>
      <c r="AC16" s="64"/>
      <c r="AD16" s="15"/>
      <c r="AE16" s="15"/>
      <c r="AF16" s="15" t="s">
        <v>126</v>
      </c>
      <c r="AG16" s="65"/>
      <c r="AJ16" s="97">
        <v>2</v>
      </c>
      <c r="AK16" s="98">
        <f>COUNTIFS(Données!$G$6:$G$69,$B16,Données!$D$6:$D$69,AK$13)</f>
        <v>0</v>
      </c>
      <c r="AL16" s="99">
        <f>COUNTIFS(Données!$G$6:$G$69,$B16,Données!$D$6:$D$69,AL$13)</f>
        <v>0</v>
      </c>
      <c r="AM16" s="95">
        <f t="shared" ref="AM16:AM18" si="5">AK16+AL16</f>
        <v>0</v>
      </c>
      <c r="AO16" s="1"/>
      <c r="AP16" s="50"/>
      <c r="AQ16" s="50"/>
    </row>
    <row r="17" spans="2:43" ht="14" thickBot="1" x14ac:dyDescent="0.2">
      <c r="B17" s="1"/>
      <c r="C17" s="49" t="s">
        <v>24</v>
      </c>
      <c r="D17" s="8" t="s">
        <v>8</v>
      </c>
      <c r="E17" s="52">
        <v>23834</v>
      </c>
      <c r="F17" s="55">
        <v>32690</v>
      </c>
      <c r="G17" s="54">
        <v>3</v>
      </c>
      <c r="H17" s="54" t="str">
        <f>VLOOKUP(TableauBS[[#This Row],[Statut]],$AE$23:$AF$26,2,FALSE)</f>
        <v>Cadre</v>
      </c>
      <c r="I17" s="38">
        <v>55313</v>
      </c>
      <c r="J17" s="9">
        <v>3</v>
      </c>
      <c r="K17" s="9">
        <f>IF(TableauBS[[#This Row],[Absenteisme]]=0,"",1)</f>
        <v>1</v>
      </c>
      <c r="L17" s="10">
        <v>1</v>
      </c>
      <c r="M17" s="12" t="s">
        <v>130</v>
      </c>
      <c r="N17" s="146" t="s">
        <v>130</v>
      </c>
      <c r="O17" s="146"/>
      <c r="P17" s="150" t="str">
        <f t="shared" si="0"/>
        <v>Individu_15</v>
      </c>
      <c r="Q17" s="151">
        <f>($J$3-TableauBS[[#This Row],[D_Arrivée]])/365.25</f>
        <v>32.501026694045173</v>
      </c>
      <c r="R17" s="220">
        <f t="shared" si="1"/>
        <v>5</v>
      </c>
      <c r="S17" s="151">
        <f t="shared" si="2"/>
        <v>56.747433264887064</v>
      </c>
      <c r="T17" s="161">
        <f t="shared" si="3"/>
        <v>5</v>
      </c>
      <c r="U17" s="135" t="str">
        <f>VLOOKUP(TableauBS[[#This Row],[Categorie age ]],$W$6:$Z$10,3,FALSE)</f>
        <v xml:space="preserve">superieur à 50 ans </v>
      </c>
      <c r="V17" s="114"/>
      <c r="W17" s="161">
        <v>5</v>
      </c>
      <c r="X17" s="114">
        <v>30</v>
      </c>
      <c r="Y17" s="115" t="str">
        <f t="shared" si="4"/>
        <v>de 30 ans à 40ans</v>
      </c>
      <c r="Z17" s="215"/>
      <c r="AA17" s="114"/>
      <c r="AB17" s="114"/>
      <c r="AC17" s="66"/>
      <c r="AD17" s="67"/>
      <c r="AE17" s="67"/>
      <c r="AF17" s="67" t="s">
        <v>127</v>
      </c>
      <c r="AG17" s="68"/>
      <c r="AJ17" s="97">
        <v>3</v>
      </c>
      <c r="AK17" s="98">
        <f>COUNTIFS(Données!$G$6:$G$69,$B17,Données!$D$6:$D$69,AK$13)</f>
        <v>0</v>
      </c>
      <c r="AL17" s="99">
        <f>COUNTIFS(Données!$G$6:$G$69,$B17,Données!$D$6:$D$69,AL$13)</f>
        <v>0</v>
      </c>
      <c r="AM17" s="95">
        <f t="shared" si="5"/>
        <v>0</v>
      </c>
      <c r="AO17" s="1"/>
      <c r="AP17" s="50"/>
      <c r="AQ17" s="50"/>
    </row>
    <row r="18" spans="2:43" x14ac:dyDescent="0.15">
      <c r="B18" s="1"/>
      <c r="C18" s="49" t="s">
        <v>25</v>
      </c>
      <c r="D18" s="8" t="s">
        <v>8</v>
      </c>
      <c r="E18" s="52">
        <v>23986</v>
      </c>
      <c r="F18" s="55">
        <v>30348</v>
      </c>
      <c r="G18" s="54">
        <v>4</v>
      </c>
      <c r="H18" s="54" t="str">
        <f>VLOOKUP(TableauBS[[#This Row],[Statut]],$AE$23:$AF$26,2,FALSE)</f>
        <v>Directeur</v>
      </c>
      <c r="I18" s="38">
        <v>99367</v>
      </c>
      <c r="J18" s="9">
        <v>4</v>
      </c>
      <c r="K18" s="9">
        <f>IF(TableauBS[[#This Row],[Absenteisme]]=0,"",1)</f>
        <v>1</v>
      </c>
      <c r="L18" s="10">
        <v>1</v>
      </c>
      <c r="M18" s="12" t="s">
        <v>130</v>
      </c>
      <c r="N18" s="146" t="s">
        <v>130</v>
      </c>
      <c r="O18" s="146"/>
      <c r="P18" s="150" t="str">
        <f t="shared" si="0"/>
        <v>Individu_16</v>
      </c>
      <c r="Q18" s="151">
        <f>($J$3-TableauBS[[#This Row],[D_Arrivée]])/365.25</f>
        <v>38.913073237508556</v>
      </c>
      <c r="R18" s="220">
        <f t="shared" si="1"/>
        <v>5</v>
      </c>
      <c r="S18" s="151">
        <f t="shared" si="2"/>
        <v>56.331279945242983</v>
      </c>
      <c r="T18" s="161">
        <f t="shared" si="3"/>
        <v>5</v>
      </c>
      <c r="U18" s="135" t="str">
        <f>VLOOKUP(TableauBS[[#This Row],[Categorie age ]],$W$6:$Z$10,3,FALSE)</f>
        <v xml:space="preserve">superieur à 50 ans </v>
      </c>
      <c r="V18" s="114"/>
      <c r="W18" s="216">
        <v>6</v>
      </c>
      <c r="X18" s="217">
        <v>40</v>
      </c>
      <c r="Y18" s="218" t="str">
        <f>"superieur à "&amp;FIXED(X18,0)&amp;" ans "</f>
        <v xml:space="preserve">superieur à 40 ans </v>
      </c>
      <c r="Z18" s="219"/>
      <c r="AA18" s="114"/>
      <c r="AB18" s="114"/>
      <c r="AJ18" s="97">
        <v>4</v>
      </c>
      <c r="AK18" s="100">
        <f>COUNTIFS(Données!$G$6:$G$69,$B18,Données!$D$6:$D$69,AK$13)</f>
        <v>0</v>
      </c>
      <c r="AL18" s="101">
        <f>COUNTIFS(Données!$G$6:$G$69,$B18,Données!$D$6:$D$69,AL$13)</f>
        <v>0</v>
      </c>
      <c r="AM18" s="96">
        <f t="shared" si="5"/>
        <v>0</v>
      </c>
      <c r="AO18" s="1"/>
      <c r="AP18" s="50"/>
      <c r="AQ18" s="50"/>
    </row>
    <row r="19" spans="2:43" x14ac:dyDescent="0.15">
      <c r="B19" s="1"/>
      <c r="C19" s="49" t="s">
        <v>27</v>
      </c>
      <c r="D19" s="8" t="s">
        <v>9</v>
      </c>
      <c r="E19" s="52">
        <v>24612</v>
      </c>
      <c r="F19" s="55">
        <v>34669</v>
      </c>
      <c r="G19" s="54">
        <v>1</v>
      </c>
      <c r="H19" s="54" t="str">
        <f>VLOOKUP(TableauBS[[#This Row],[Statut]],$AE$23:$AF$26,2,FALSE)</f>
        <v>Ouvrier</v>
      </c>
      <c r="I19" s="38">
        <v>27374</v>
      </c>
      <c r="J19" s="9">
        <v>10</v>
      </c>
      <c r="K19" s="9">
        <f>IF(TableauBS[[#This Row],[Absenteisme]]=0,"",1)</f>
        <v>1</v>
      </c>
      <c r="L19" s="10">
        <v>1</v>
      </c>
      <c r="M19" s="12" t="s">
        <v>130</v>
      </c>
      <c r="N19" s="146" t="s">
        <v>130</v>
      </c>
      <c r="O19" s="146"/>
      <c r="P19" s="150" t="str">
        <f t="shared" si="0"/>
        <v>Individu_18</v>
      </c>
      <c r="Q19" s="151">
        <f>($J$3-TableauBS[[#This Row],[D_Arrivée]])/365.25</f>
        <v>27.082819986310746</v>
      </c>
      <c r="R19" s="220">
        <f t="shared" si="1"/>
        <v>4</v>
      </c>
      <c r="S19" s="151">
        <f t="shared" si="2"/>
        <v>54.617385352498289</v>
      </c>
      <c r="T19" s="161">
        <f t="shared" si="3"/>
        <v>5</v>
      </c>
      <c r="U19" s="135" t="str">
        <f>VLOOKUP(TableauBS[[#This Row],[Categorie age ]],$W$6:$Z$10,3,FALSE)</f>
        <v xml:space="preserve">superieur à 50 ans </v>
      </c>
      <c r="V19" s="114"/>
      <c r="W19" s="210"/>
      <c r="X19" s="114"/>
      <c r="Y19" s="114"/>
      <c r="Z19" s="114"/>
      <c r="AA19" s="114"/>
      <c r="AB19" s="114"/>
      <c r="AC19" s="14"/>
      <c r="AD19" s="21" t="s">
        <v>111</v>
      </c>
      <c r="AE19" s="15"/>
      <c r="AF19" s="15"/>
      <c r="AG19" s="16"/>
      <c r="AJ19" s="102" t="s">
        <v>173</v>
      </c>
      <c r="AK19" s="103">
        <f>SUM(AK15:AK18)</f>
        <v>0</v>
      </c>
      <c r="AL19" s="104">
        <f>SUM(AL15:AL18)</f>
        <v>0</v>
      </c>
      <c r="AO19" s="1"/>
      <c r="AP19" s="50"/>
      <c r="AQ19" s="50"/>
    </row>
    <row r="20" spans="2:43" x14ac:dyDescent="0.15">
      <c r="B20" s="1"/>
      <c r="C20" s="49" t="s">
        <v>28</v>
      </c>
      <c r="D20" s="8" t="s">
        <v>9</v>
      </c>
      <c r="E20" s="52">
        <v>25536</v>
      </c>
      <c r="F20" s="55">
        <v>36039</v>
      </c>
      <c r="G20" s="54">
        <v>1</v>
      </c>
      <c r="H20" s="54" t="str">
        <f>VLOOKUP(TableauBS[[#This Row],[Statut]],$AE$23:$AF$26,2,FALSE)</f>
        <v>Ouvrier</v>
      </c>
      <c r="I20" s="38">
        <v>27482</v>
      </c>
      <c r="J20" s="9">
        <v>0</v>
      </c>
      <c r="K20" s="9" t="str">
        <f>IF(TableauBS[[#This Row],[Absenteisme]]=0,"",1)</f>
        <v/>
      </c>
      <c r="L20" s="10">
        <v>1</v>
      </c>
      <c r="M20" s="12" t="s">
        <v>130</v>
      </c>
      <c r="N20" s="146" t="s">
        <v>130</v>
      </c>
      <c r="O20" s="146"/>
      <c r="P20" s="150" t="str">
        <f t="shared" si="0"/>
        <v>Individu_19</v>
      </c>
      <c r="Q20" s="151">
        <f>($J$3-TableauBS[[#This Row],[D_Arrivée]])/365.25</f>
        <v>23.331964407939768</v>
      </c>
      <c r="R20" s="220">
        <f t="shared" si="1"/>
        <v>4</v>
      </c>
      <c r="S20" s="151">
        <f t="shared" si="2"/>
        <v>52.087611225188226</v>
      </c>
      <c r="T20" s="161">
        <f t="shared" si="3"/>
        <v>5</v>
      </c>
      <c r="U20" s="135" t="str">
        <f>VLOOKUP(TableauBS[[#This Row],[Categorie age ]],$W$6:$Z$10,3,FALSE)</f>
        <v xml:space="preserve">superieur à 50 ans </v>
      </c>
      <c r="V20" s="114"/>
      <c r="W20" s="114"/>
      <c r="X20" s="114"/>
      <c r="Y20" s="114"/>
      <c r="Z20" s="114"/>
      <c r="AA20" s="114"/>
      <c r="AB20" s="114"/>
      <c r="AC20" s="14"/>
      <c r="AD20" s="22" t="s">
        <v>93</v>
      </c>
      <c r="AE20" s="22"/>
      <c r="AF20" s="42" t="s">
        <v>143</v>
      </c>
      <c r="AG20" s="16"/>
      <c r="AO20" s="1"/>
      <c r="AP20" s="50"/>
      <c r="AQ20" s="50"/>
    </row>
    <row r="21" spans="2:43" x14ac:dyDescent="0.15">
      <c r="B21" s="1"/>
      <c r="C21" s="49" t="s">
        <v>29</v>
      </c>
      <c r="D21" s="8" t="s">
        <v>8</v>
      </c>
      <c r="E21" s="52">
        <v>26287</v>
      </c>
      <c r="F21" s="55">
        <v>35186</v>
      </c>
      <c r="G21" s="54">
        <v>1</v>
      </c>
      <c r="H21" s="54" t="str">
        <f>VLOOKUP(TableauBS[[#This Row],[Statut]],$AE$23:$AF$26,2,FALSE)</f>
        <v>Ouvrier</v>
      </c>
      <c r="I21" s="38">
        <v>27579</v>
      </c>
      <c r="J21" s="9">
        <v>20</v>
      </c>
      <c r="K21" s="9">
        <f>IF(TableauBS[[#This Row],[Absenteisme]]=0,"",1)</f>
        <v>1</v>
      </c>
      <c r="L21" s="10">
        <v>1</v>
      </c>
      <c r="M21" s="12" t="s">
        <v>130</v>
      </c>
      <c r="N21" s="146" t="s">
        <v>130</v>
      </c>
      <c r="O21" s="146"/>
      <c r="P21" s="150" t="str">
        <f t="shared" si="0"/>
        <v>Individu_20</v>
      </c>
      <c r="Q21" s="151">
        <f>($J$3-TableauBS[[#This Row],[D_Arrivée]])/365.25</f>
        <v>25.66735112936345</v>
      </c>
      <c r="R21" s="220">
        <f t="shared" si="1"/>
        <v>4</v>
      </c>
      <c r="S21" s="151">
        <f t="shared" si="2"/>
        <v>50.031485284052017</v>
      </c>
      <c r="T21" s="161">
        <f t="shared" si="3"/>
        <v>5</v>
      </c>
      <c r="U21" s="135" t="str">
        <f>VLOOKUP(TableauBS[[#This Row],[Categorie age ]],$W$6:$Z$10,3,FALSE)</f>
        <v xml:space="preserve">superieur à 50 ans </v>
      </c>
      <c r="V21" s="114"/>
      <c r="W21" s="114"/>
      <c r="X21" s="114"/>
      <c r="Y21" s="114"/>
      <c r="Z21" s="114"/>
      <c r="AA21" s="114"/>
      <c r="AB21" s="114"/>
      <c r="AC21" s="14"/>
      <c r="AD21" s="22" t="s">
        <v>1</v>
      </c>
      <c r="AE21" s="15" t="s">
        <v>8</v>
      </c>
      <c r="AF21" s="15"/>
      <c r="AG21" s="16"/>
      <c r="AO21" s="1"/>
      <c r="AP21" s="50"/>
      <c r="AQ21" s="50"/>
    </row>
    <row r="22" spans="2:43" x14ac:dyDescent="0.15">
      <c r="B22" s="1"/>
      <c r="C22" s="49" t="s">
        <v>30</v>
      </c>
      <c r="D22" s="8" t="s">
        <v>8</v>
      </c>
      <c r="E22" s="52">
        <v>28459</v>
      </c>
      <c r="F22" s="55">
        <v>36892</v>
      </c>
      <c r="G22" s="54">
        <v>1</v>
      </c>
      <c r="H22" s="54" t="str">
        <f>VLOOKUP(TableauBS[[#This Row],[Statut]],$AE$23:$AF$26,2,FALSE)</f>
        <v>Ouvrier</v>
      </c>
      <c r="I22" s="38">
        <v>24385</v>
      </c>
      <c r="J22" s="9">
        <v>90</v>
      </c>
      <c r="K22" s="9">
        <f>IF(TableauBS[[#This Row],[Absenteisme]]=0,"",1)</f>
        <v>1</v>
      </c>
      <c r="L22" s="10">
        <v>0.8</v>
      </c>
      <c r="M22" s="12" t="s">
        <v>130</v>
      </c>
      <c r="N22" s="146" t="s">
        <v>130</v>
      </c>
      <c r="O22" s="146"/>
      <c r="P22" s="150" t="str">
        <f t="shared" si="0"/>
        <v>Individu_21</v>
      </c>
      <c r="Q22" s="151">
        <f>($J$3-TableauBS[[#This Row],[D_Arrivée]])/365.25</f>
        <v>20.996577686516083</v>
      </c>
      <c r="R22" s="220">
        <f t="shared" si="1"/>
        <v>4</v>
      </c>
      <c r="S22" s="151">
        <f t="shared" si="2"/>
        <v>44.084873374401099</v>
      </c>
      <c r="T22" s="161">
        <f t="shared" si="3"/>
        <v>3</v>
      </c>
      <c r="U22" s="135" t="str">
        <f>VLOOKUP(TableauBS[[#This Row],[Categorie age ]],$W$6:$Z$10,3,FALSE)</f>
        <v>de 30 ans à 45ans</v>
      </c>
      <c r="V22" s="114"/>
      <c r="W22" s="114"/>
      <c r="X22" s="114"/>
      <c r="Y22" s="114"/>
      <c r="Z22" s="114"/>
      <c r="AA22" s="114"/>
      <c r="AB22" s="114"/>
      <c r="AC22" s="14"/>
      <c r="AD22" s="15"/>
      <c r="AE22" s="15" t="s">
        <v>9</v>
      </c>
      <c r="AF22" s="15"/>
      <c r="AG22" s="16"/>
      <c r="AO22" s="1"/>
      <c r="AP22" s="50"/>
      <c r="AQ22" s="50"/>
    </row>
    <row r="23" spans="2:43" x14ac:dyDescent="0.15">
      <c r="B23" s="1"/>
      <c r="C23" s="49" t="s">
        <v>31</v>
      </c>
      <c r="D23" s="8" t="s">
        <v>9</v>
      </c>
      <c r="E23" s="52">
        <v>28567</v>
      </c>
      <c r="F23" s="55">
        <v>41061</v>
      </c>
      <c r="G23" s="54">
        <v>1</v>
      </c>
      <c r="H23" s="54" t="str">
        <f>VLOOKUP(TableauBS[[#This Row],[Statut]],$AE$23:$AF$26,2,FALSE)</f>
        <v>Ouvrier</v>
      </c>
      <c r="I23" s="38">
        <v>28418</v>
      </c>
      <c r="J23" s="9">
        <v>2</v>
      </c>
      <c r="K23" s="9">
        <f>IF(TableauBS[[#This Row],[Absenteisme]]=0,"",1)</f>
        <v>1</v>
      </c>
      <c r="L23" s="10">
        <v>1</v>
      </c>
      <c r="M23" s="12" t="s">
        <v>130</v>
      </c>
      <c r="N23" s="146" t="s">
        <v>130</v>
      </c>
      <c r="O23" s="146"/>
      <c r="P23" s="150" t="str">
        <f t="shared" si="0"/>
        <v>Individu_22</v>
      </c>
      <c r="Q23" s="151">
        <f>($J$3-TableauBS[[#This Row],[D_Arrivée]])/365.25</f>
        <v>9.5824777549623548</v>
      </c>
      <c r="R23" s="220">
        <f t="shared" si="1"/>
        <v>2</v>
      </c>
      <c r="S23" s="151">
        <f t="shared" si="2"/>
        <v>43.789185489390832</v>
      </c>
      <c r="T23" s="161">
        <f t="shared" si="3"/>
        <v>3</v>
      </c>
      <c r="U23" s="135" t="str">
        <f>VLOOKUP(TableauBS[[#This Row],[Categorie age ]],$W$6:$Z$10,3,FALSE)</f>
        <v>de 30 ans à 45ans</v>
      </c>
      <c r="V23" s="114"/>
      <c r="W23" s="114"/>
      <c r="X23" s="114"/>
      <c r="Y23" s="114"/>
      <c r="Z23" s="114"/>
      <c r="AA23" s="114"/>
      <c r="AB23" s="114"/>
      <c r="AC23" s="14"/>
      <c r="AD23" s="22" t="s">
        <v>5</v>
      </c>
      <c r="AE23" s="15">
        <v>1</v>
      </c>
      <c r="AF23" s="15" t="s">
        <v>101</v>
      </c>
      <c r="AG23" s="16"/>
      <c r="AJ23" s="108" t="s">
        <v>179</v>
      </c>
      <c r="AK23" s="108" t="s">
        <v>178</v>
      </c>
      <c r="AO23" s="1"/>
      <c r="AP23" s="50"/>
      <c r="AQ23" s="50"/>
    </row>
    <row r="24" spans="2:43" x14ac:dyDescent="0.15">
      <c r="B24" s="1"/>
      <c r="C24" s="49" t="s">
        <v>32</v>
      </c>
      <c r="D24" s="8" t="s">
        <v>9</v>
      </c>
      <c r="E24" s="52">
        <v>28687</v>
      </c>
      <c r="F24" s="55">
        <v>37561</v>
      </c>
      <c r="G24" s="54">
        <v>1</v>
      </c>
      <c r="H24" s="54" t="str">
        <f>VLOOKUP(TableauBS[[#This Row],[Statut]],$AE$23:$AF$26,2,FALSE)</f>
        <v>Ouvrier</v>
      </c>
      <c r="I24" s="38">
        <v>28264</v>
      </c>
      <c r="J24" s="9">
        <v>16</v>
      </c>
      <c r="K24" s="9">
        <f>IF(TableauBS[[#This Row],[Absenteisme]]=0,"",1)</f>
        <v>1</v>
      </c>
      <c r="L24" s="10">
        <v>1</v>
      </c>
      <c r="M24" s="12" t="s">
        <v>130</v>
      </c>
      <c r="N24" s="146" t="s">
        <v>130</v>
      </c>
      <c r="O24" s="146"/>
      <c r="P24" s="150" t="str">
        <f t="shared" si="0"/>
        <v>Individu_23</v>
      </c>
      <c r="Q24" s="151">
        <f>($J$3-TableauBS[[#This Row],[D_Arrivée]])/365.25</f>
        <v>19.16495550992471</v>
      </c>
      <c r="R24" s="220">
        <f t="shared" si="1"/>
        <v>3</v>
      </c>
      <c r="S24" s="151">
        <f t="shared" si="2"/>
        <v>43.460643394934976</v>
      </c>
      <c r="T24" s="161">
        <f t="shared" si="3"/>
        <v>3</v>
      </c>
      <c r="U24" s="135" t="str">
        <f>VLOOKUP(TableauBS[[#This Row],[Categorie age ]],$W$6:$Z$10,3,FALSE)</f>
        <v>de 30 ans à 45ans</v>
      </c>
      <c r="V24" s="114"/>
      <c r="W24" s="114"/>
      <c r="X24" s="114"/>
      <c r="Y24" s="114"/>
      <c r="Z24" s="114"/>
      <c r="AA24" s="114"/>
      <c r="AB24" s="114"/>
      <c r="AC24" s="14"/>
      <c r="AD24" s="15"/>
      <c r="AE24" s="15">
        <v>2</v>
      </c>
      <c r="AF24" s="15" t="s">
        <v>102</v>
      </c>
      <c r="AG24" s="16"/>
      <c r="AJ24" s="108" t="s">
        <v>176</v>
      </c>
      <c r="AK24" t="s">
        <v>9</v>
      </c>
      <c r="AL24" t="s">
        <v>8</v>
      </c>
      <c r="AM24" t="s">
        <v>177</v>
      </c>
      <c r="AO24" s="1"/>
      <c r="AP24" s="50"/>
      <c r="AQ24" s="50"/>
    </row>
    <row r="25" spans="2:43" x14ac:dyDescent="0.15">
      <c r="B25" s="1"/>
      <c r="C25" s="49" t="s">
        <v>33</v>
      </c>
      <c r="D25" s="8" t="s">
        <v>8</v>
      </c>
      <c r="E25" s="52">
        <v>29547</v>
      </c>
      <c r="F25" s="55">
        <v>43678</v>
      </c>
      <c r="G25" s="54">
        <v>2</v>
      </c>
      <c r="H25" s="54" t="str">
        <f>VLOOKUP(TableauBS[[#This Row],[Statut]],$AE$23:$AF$26,2,FALSE)</f>
        <v>Employé</v>
      </c>
      <c r="I25" s="38">
        <v>30969</v>
      </c>
      <c r="J25" s="9">
        <v>0</v>
      </c>
      <c r="K25" s="9" t="str">
        <f>IF(TableauBS[[#This Row],[Absenteisme]]=0,"",1)</f>
        <v/>
      </c>
      <c r="L25" s="10">
        <v>1</v>
      </c>
      <c r="M25" s="12" t="s">
        <v>130</v>
      </c>
      <c r="N25" s="146" t="s">
        <v>130</v>
      </c>
      <c r="O25" s="146"/>
      <c r="P25" s="150" t="str">
        <f t="shared" si="0"/>
        <v>Individu_24</v>
      </c>
      <c r="Q25" s="151">
        <f>($J$3-TableauBS[[#This Row],[D_Arrivée]])/365.25</f>
        <v>2.4175222450376452</v>
      </c>
      <c r="R25" s="220">
        <f t="shared" si="1"/>
        <v>1</v>
      </c>
      <c r="S25" s="151">
        <f t="shared" si="2"/>
        <v>41.106091718001366</v>
      </c>
      <c r="T25" s="161">
        <f t="shared" si="3"/>
        <v>3</v>
      </c>
      <c r="U25" s="135" t="str">
        <f>VLOOKUP(TableauBS[[#This Row],[Categorie age ]],$W$6:$Z$10,3,FALSE)</f>
        <v>de 30 ans à 45ans</v>
      </c>
      <c r="V25" s="114"/>
      <c r="W25" s="114"/>
      <c r="X25" s="114"/>
      <c r="Y25" s="114"/>
      <c r="Z25" s="114"/>
      <c r="AA25" s="114"/>
      <c r="AB25" s="114"/>
      <c r="AC25" s="14"/>
      <c r="AD25" s="15"/>
      <c r="AE25" s="15">
        <v>3</v>
      </c>
      <c r="AF25" s="15" t="s">
        <v>103</v>
      </c>
      <c r="AG25" s="16"/>
      <c r="AJ25" s="109">
        <v>1</v>
      </c>
      <c r="AK25" s="110">
        <v>13</v>
      </c>
      <c r="AL25" s="110">
        <v>15</v>
      </c>
      <c r="AM25" s="110">
        <v>28</v>
      </c>
      <c r="AO25" s="1"/>
      <c r="AP25" s="50"/>
      <c r="AQ25" s="50"/>
    </row>
    <row r="26" spans="2:43" x14ac:dyDescent="0.15">
      <c r="B26" s="1"/>
      <c r="C26" s="49" t="s">
        <v>34</v>
      </c>
      <c r="D26" s="8" t="s">
        <v>9</v>
      </c>
      <c r="E26" s="52">
        <v>29696</v>
      </c>
      <c r="F26" s="55">
        <v>42491</v>
      </c>
      <c r="G26" s="54">
        <v>2</v>
      </c>
      <c r="H26" s="54" t="str">
        <f>VLOOKUP(TableauBS[[#This Row],[Statut]],$AE$23:$AF$26,2,FALSE)</f>
        <v>Employé</v>
      </c>
      <c r="I26" s="38">
        <v>20523</v>
      </c>
      <c r="J26" s="9">
        <v>0</v>
      </c>
      <c r="K26" s="9" t="str">
        <f>IF(TableauBS[[#This Row],[Absenteisme]]=0,"",1)</f>
        <v/>
      </c>
      <c r="L26" s="10">
        <v>0.6</v>
      </c>
      <c r="M26" s="12" t="s">
        <v>130</v>
      </c>
      <c r="N26" s="146" t="s">
        <v>130</v>
      </c>
      <c r="O26" s="146"/>
      <c r="P26" s="150" t="str">
        <f t="shared" si="0"/>
        <v>Individu_25</v>
      </c>
      <c r="Q26" s="151">
        <f>($J$3-TableauBS[[#This Row],[D_Arrivée]])/365.25</f>
        <v>5.6673511293634498</v>
      </c>
      <c r="R26" s="220">
        <f t="shared" si="1"/>
        <v>2</v>
      </c>
      <c r="S26" s="151">
        <f t="shared" si="2"/>
        <v>40.698151950718689</v>
      </c>
      <c r="T26" s="161">
        <f t="shared" si="3"/>
        <v>3</v>
      </c>
      <c r="U26" s="135" t="str">
        <f>VLOOKUP(TableauBS[[#This Row],[Categorie age ]],$W$6:$Z$10,3,FALSE)</f>
        <v>de 30 ans à 45ans</v>
      </c>
      <c r="V26" s="114"/>
      <c r="W26" s="114"/>
      <c r="X26" s="114"/>
      <c r="Y26" s="114"/>
      <c r="Z26" s="114"/>
      <c r="AA26" s="114"/>
      <c r="AB26" s="114"/>
      <c r="AC26" s="14"/>
      <c r="AD26" s="15"/>
      <c r="AE26" s="15">
        <v>4</v>
      </c>
      <c r="AF26" s="15" t="s">
        <v>104</v>
      </c>
      <c r="AG26" s="16"/>
      <c r="AJ26" s="109">
        <v>2</v>
      </c>
      <c r="AK26" s="110">
        <v>11</v>
      </c>
      <c r="AL26" s="110">
        <v>8</v>
      </c>
      <c r="AM26" s="110">
        <v>19</v>
      </c>
      <c r="AO26" s="1"/>
      <c r="AP26" s="50"/>
      <c r="AQ26" s="50"/>
    </row>
    <row r="27" spans="2:43" x14ac:dyDescent="0.15">
      <c r="B27" s="1"/>
      <c r="C27" s="49" t="s">
        <v>36</v>
      </c>
      <c r="D27" s="8" t="s">
        <v>8</v>
      </c>
      <c r="E27" s="52">
        <v>30344</v>
      </c>
      <c r="F27" s="55">
        <v>39052</v>
      </c>
      <c r="G27" s="54">
        <v>2</v>
      </c>
      <c r="H27" s="54" t="str">
        <f>VLOOKUP(TableauBS[[#This Row],[Statut]],$AE$23:$AF$26,2,FALSE)</f>
        <v>Employé</v>
      </c>
      <c r="I27" s="38">
        <v>30759</v>
      </c>
      <c r="J27" s="9">
        <v>1</v>
      </c>
      <c r="K27" s="9">
        <f>IF(TableauBS[[#This Row],[Absenteisme]]=0,"",1)</f>
        <v>1</v>
      </c>
      <c r="L27" s="10">
        <v>1</v>
      </c>
      <c r="M27" s="12" t="s">
        <v>130</v>
      </c>
      <c r="N27" s="146" t="s">
        <v>130</v>
      </c>
      <c r="O27" s="146"/>
      <c r="P27" s="150" t="str">
        <f t="shared" si="0"/>
        <v>Individu_27</v>
      </c>
      <c r="Q27" s="151">
        <f>($J$3-TableauBS[[#This Row],[D_Arrivée]])/365.25</f>
        <v>15.082819986310746</v>
      </c>
      <c r="R27" s="220">
        <f t="shared" si="1"/>
        <v>3</v>
      </c>
      <c r="S27" s="151">
        <f t="shared" si="2"/>
        <v>38.924024640657088</v>
      </c>
      <c r="T27" s="161">
        <f t="shared" si="3"/>
        <v>3</v>
      </c>
      <c r="U27" s="135" t="str">
        <f>VLOOKUP(TableauBS[[#This Row],[Categorie age ]],$W$6:$Z$10,3,FALSE)</f>
        <v>de 30 ans à 45ans</v>
      </c>
      <c r="V27" s="114"/>
      <c r="W27" s="114"/>
      <c r="X27" s="114"/>
      <c r="Y27" s="114"/>
      <c r="Z27" s="114"/>
      <c r="AA27" s="114"/>
      <c r="AB27" s="114"/>
      <c r="AC27" s="14"/>
      <c r="AD27" s="22" t="s">
        <v>105</v>
      </c>
      <c r="AE27" s="15"/>
      <c r="AF27" s="15" t="s">
        <v>106</v>
      </c>
      <c r="AG27" s="16"/>
      <c r="AJ27" s="109">
        <v>3</v>
      </c>
      <c r="AK27" s="110">
        <v>4</v>
      </c>
      <c r="AL27" s="110">
        <v>9</v>
      </c>
      <c r="AM27" s="110">
        <v>13</v>
      </c>
      <c r="AO27" s="1"/>
      <c r="AP27" s="50"/>
      <c r="AQ27" s="50"/>
    </row>
    <row r="28" spans="2:43" x14ac:dyDescent="0.15">
      <c r="B28" s="1"/>
      <c r="C28" s="49" t="s">
        <v>37</v>
      </c>
      <c r="D28" s="8" t="s">
        <v>8</v>
      </c>
      <c r="E28" s="52">
        <v>30387</v>
      </c>
      <c r="F28" s="55">
        <v>43435</v>
      </c>
      <c r="G28" s="54">
        <v>3</v>
      </c>
      <c r="H28" s="54" t="str">
        <f>VLOOKUP(TableauBS[[#This Row],[Statut]],$AE$23:$AF$26,2,FALSE)</f>
        <v>Cadre</v>
      </c>
      <c r="I28" s="38">
        <v>54566</v>
      </c>
      <c r="J28" s="9">
        <v>9</v>
      </c>
      <c r="K28" s="9">
        <f>IF(TableauBS[[#This Row],[Absenteisme]]=0,"",1)</f>
        <v>1</v>
      </c>
      <c r="L28" s="10">
        <v>1</v>
      </c>
      <c r="M28" s="12" t="s">
        <v>130</v>
      </c>
      <c r="N28" s="146" t="s">
        <v>130</v>
      </c>
      <c r="O28" s="146"/>
      <c r="P28" s="150" t="str">
        <f t="shared" si="0"/>
        <v>Individu_28</v>
      </c>
      <c r="Q28" s="151">
        <f>($J$3-TableauBS[[#This Row],[D_Arrivée]])/365.25</f>
        <v>3.0828199863107462</v>
      </c>
      <c r="R28" s="220">
        <f t="shared" si="1"/>
        <v>1</v>
      </c>
      <c r="S28" s="151">
        <f t="shared" si="2"/>
        <v>38.806297056810401</v>
      </c>
      <c r="T28" s="161">
        <f t="shared" si="3"/>
        <v>3</v>
      </c>
      <c r="U28" s="135" t="str">
        <f>VLOOKUP(TableauBS[[#This Row],[Categorie age ]],$W$6:$Z$10,3,FALSE)</f>
        <v>de 30 ans à 45ans</v>
      </c>
      <c r="V28" s="114"/>
      <c r="W28" s="114"/>
      <c r="X28" s="114"/>
      <c r="Y28" s="114"/>
      <c r="Z28" s="114"/>
      <c r="AA28" s="114"/>
      <c r="AB28" s="114"/>
      <c r="AC28" s="14"/>
      <c r="AD28" s="15"/>
      <c r="AE28" s="15"/>
      <c r="AF28" s="15" t="s">
        <v>112</v>
      </c>
      <c r="AG28" s="16"/>
      <c r="AJ28" s="109">
        <v>4</v>
      </c>
      <c r="AK28" s="110">
        <v>1</v>
      </c>
      <c r="AL28" s="110">
        <v>3</v>
      </c>
      <c r="AM28" s="110">
        <v>4</v>
      </c>
      <c r="AO28" s="1"/>
      <c r="AP28" s="50"/>
      <c r="AQ28" s="50"/>
    </row>
    <row r="29" spans="2:43" x14ac:dyDescent="0.15">
      <c r="B29" s="1"/>
      <c r="C29" s="49" t="s">
        <v>38</v>
      </c>
      <c r="D29" s="8" t="s">
        <v>9</v>
      </c>
      <c r="E29" s="52">
        <v>30917</v>
      </c>
      <c r="F29" s="55">
        <v>39661</v>
      </c>
      <c r="G29" s="54">
        <v>3</v>
      </c>
      <c r="H29" s="54" t="str">
        <f>VLOOKUP(TableauBS[[#This Row],[Statut]],$AE$23:$AF$26,2,FALSE)</f>
        <v>Cadre</v>
      </c>
      <c r="I29" s="38">
        <v>46356</v>
      </c>
      <c r="J29" s="9">
        <v>0</v>
      </c>
      <c r="K29" s="9" t="str">
        <f>IF(TableauBS[[#This Row],[Absenteisme]]=0,"",1)</f>
        <v/>
      </c>
      <c r="L29" s="10">
        <v>1</v>
      </c>
      <c r="M29" s="12" t="s">
        <v>130</v>
      </c>
      <c r="N29" s="146" t="s">
        <v>130</v>
      </c>
      <c r="O29" s="146"/>
      <c r="P29" s="150" t="str">
        <f t="shared" si="0"/>
        <v>Individu_29</v>
      </c>
      <c r="Q29" s="151">
        <f>($J$3-TableauBS[[#This Row],[D_Arrivée]])/365.25</f>
        <v>13.415468856947296</v>
      </c>
      <c r="R29" s="220">
        <f t="shared" si="1"/>
        <v>3</v>
      </c>
      <c r="S29" s="151">
        <f t="shared" si="2"/>
        <v>37.355236139630392</v>
      </c>
      <c r="T29" s="161">
        <f t="shared" si="3"/>
        <v>3</v>
      </c>
      <c r="U29" s="135" t="str">
        <f>VLOOKUP(TableauBS[[#This Row],[Categorie age ]],$W$6:$Z$10,3,FALSE)</f>
        <v>de 30 ans à 45ans</v>
      </c>
      <c r="V29" s="114"/>
      <c r="W29" s="114"/>
      <c r="X29" s="114"/>
      <c r="Y29" s="114"/>
      <c r="Z29" s="114"/>
      <c r="AA29" s="114"/>
      <c r="AB29" s="114"/>
      <c r="AC29" s="14"/>
      <c r="AD29" s="15"/>
      <c r="AE29" s="15"/>
      <c r="AF29" s="15" t="s">
        <v>113</v>
      </c>
      <c r="AG29" s="16"/>
      <c r="AJ29" s="109" t="s">
        <v>177</v>
      </c>
      <c r="AK29" s="110">
        <v>29</v>
      </c>
      <c r="AL29" s="110">
        <v>35</v>
      </c>
      <c r="AM29" s="110">
        <v>64</v>
      </c>
      <c r="AO29" s="1"/>
      <c r="AP29" s="50"/>
      <c r="AQ29" s="50"/>
    </row>
    <row r="30" spans="2:43" x14ac:dyDescent="0.15">
      <c r="B30" s="1"/>
      <c r="C30" s="49" t="s">
        <v>40</v>
      </c>
      <c r="D30" s="8" t="s">
        <v>8</v>
      </c>
      <c r="E30" s="52">
        <v>32117</v>
      </c>
      <c r="F30" s="55">
        <v>41699</v>
      </c>
      <c r="G30" s="54">
        <v>4</v>
      </c>
      <c r="H30" s="54" t="str">
        <f>VLOOKUP(TableauBS[[#This Row],[Statut]],$AE$23:$AF$26,2,FALSE)</f>
        <v>Directeur</v>
      </c>
      <c r="I30" s="38">
        <v>127272</v>
      </c>
      <c r="J30" s="9">
        <v>0</v>
      </c>
      <c r="K30" s="9" t="str">
        <f>IF(TableauBS[[#This Row],[Absenteisme]]=0,"",1)</f>
        <v/>
      </c>
      <c r="L30" s="10">
        <v>1</v>
      </c>
      <c r="M30" s="12" t="s">
        <v>130</v>
      </c>
      <c r="N30" s="146" t="s">
        <v>130</v>
      </c>
      <c r="O30" s="146"/>
      <c r="P30" s="150" t="str">
        <f t="shared" si="0"/>
        <v>Individu_31</v>
      </c>
      <c r="Q30" s="151">
        <f>($J$3-TableauBS[[#This Row],[D_Arrivée]])/365.25</f>
        <v>7.8357289527720742</v>
      </c>
      <c r="R30" s="220">
        <f t="shared" si="1"/>
        <v>2</v>
      </c>
      <c r="S30" s="151">
        <f t="shared" si="2"/>
        <v>34.069815195071868</v>
      </c>
      <c r="T30" s="161">
        <f t="shared" si="3"/>
        <v>3</v>
      </c>
      <c r="U30" s="135" t="str">
        <f>VLOOKUP(TableauBS[[#This Row],[Categorie age ]],$W$6:$Z$10,3,FALSE)</f>
        <v>de 30 ans à 45ans</v>
      </c>
      <c r="V30" s="114"/>
      <c r="W30" s="114"/>
      <c r="X30" s="114"/>
      <c r="Y30" s="114"/>
      <c r="Z30" s="114"/>
      <c r="AA30" s="114"/>
      <c r="AB30" s="114"/>
      <c r="AC30" s="14"/>
      <c r="AD30" s="22" t="s">
        <v>107</v>
      </c>
      <c r="AE30" s="15"/>
      <c r="AF30" s="15" t="s">
        <v>110</v>
      </c>
      <c r="AG30" s="16"/>
      <c r="AO30" s="1"/>
      <c r="AP30" s="50"/>
      <c r="AQ30" s="50"/>
    </row>
    <row r="31" spans="2:43" x14ac:dyDescent="0.15">
      <c r="B31" s="1"/>
      <c r="C31" s="49" t="s">
        <v>41</v>
      </c>
      <c r="D31" s="8" t="s">
        <v>8</v>
      </c>
      <c r="E31" s="52">
        <v>32815</v>
      </c>
      <c r="F31" s="55">
        <v>41883</v>
      </c>
      <c r="G31" s="54">
        <v>3</v>
      </c>
      <c r="H31" s="54" t="str">
        <f>VLOOKUP(TableauBS[[#This Row],[Statut]],$AE$23:$AF$26,2,FALSE)</f>
        <v>Cadre</v>
      </c>
      <c r="I31" s="38">
        <v>52174</v>
      </c>
      <c r="J31" s="9">
        <v>1</v>
      </c>
      <c r="K31" s="9">
        <f>IF(TableauBS[[#This Row],[Absenteisme]]=0,"",1)</f>
        <v>1</v>
      </c>
      <c r="L31" s="10">
        <v>1</v>
      </c>
      <c r="M31" s="12" t="s">
        <v>130</v>
      </c>
      <c r="N31" s="146" t="s">
        <v>130</v>
      </c>
      <c r="O31" s="146"/>
      <c r="P31" s="150" t="str">
        <f t="shared" si="0"/>
        <v>Individu_32</v>
      </c>
      <c r="Q31" s="151">
        <f>($J$3-TableauBS[[#This Row],[D_Arrivée]])/365.25</f>
        <v>7.3319644079397674</v>
      </c>
      <c r="R31" s="220">
        <f t="shared" si="1"/>
        <v>2</v>
      </c>
      <c r="S31" s="151">
        <f t="shared" si="2"/>
        <v>32.158795345653665</v>
      </c>
      <c r="T31" s="161">
        <f t="shared" si="3"/>
        <v>3</v>
      </c>
      <c r="U31" s="135" t="str">
        <f>VLOOKUP(TableauBS[[#This Row],[Categorie age ]],$W$6:$Z$10,3,FALSE)</f>
        <v>de 30 ans à 45ans</v>
      </c>
      <c r="V31" s="114"/>
      <c r="W31" s="114"/>
      <c r="X31" s="114"/>
      <c r="Y31" s="114"/>
      <c r="Z31" s="114"/>
      <c r="AA31" s="114"/>
      <c r="AB31" s="114"/>
      <c r="AC31" s="14"/>
      <c r="AD31" s="15"/>
      <c r="AE31" s="15"/>
      <c r="AF31" s="15"/>
      <c r="AG31" s="16"/>
      <c r="AO31" s="1"/>
      <c r="AP31" s="50"/>
      <c r="AQ31" s="50"/>
    </row>
    <row r="32" spans="2:43" x14ac:dyDescent="0.15">
      <c r="B32" s="1"/>
      <c r="C32" s="49" t="s">
        <v>42</v>
      </c>
      <c r="D32" s="8" t="s">
        <v>8</v>
      </c>
      <c r="E32" s="52">
        <v>33158</v>
      </c>
      <c r="F32" s="55">
        <v>41000</v>
      </c>
      <c r="G32" s="54">
        <v>1</v>
      </c>
      <c r="H32" s="54" t="str">
        <f>VLOOKUP(TableauBS[[#This Row],[Statut]],$AE$23:$AF$26,2,FALSE)</f>
        <v>Ouvrier</v>
      </c>
      <c r="I32" s="38">
        <v>27082</v>
      </c>
      <c r="J32" s="9">
        <v>5</v>
      </c>
      <c r="K32" s="9">
        <f>IF(TableauBS[[#This Row],[Absenteisme]]=0,"",1)</f>
        <v>1</v>
      </c>
      <c r="L32" s="10">
        <v>1</v>
      </c>
      <c r="M32" s="12" t="s">
        <v>130</v>
      </c>
      <c r="N32" s="146" t="s">
        <v>130</v>
      </c>
      <c r="O32" s="146"/>
      <c r="P32" s="150" t="str">
        <f t="shared" si="0"/>
        <v>Individu_33</v>
      </c>
      <c r="Q32" s="151">
        <f>($J$3-TableauBS[[#This Row],[D_Arrivée]])/365.25</f>
        <v>9.7494866529774136</v>
      </c>
      <c r="R32" s="220">
        <f t="shared" si="1"/>
        <v>2</v>
      </c>
      <c r="S32" s="151">
        <f t="shared" si="2"/>
        <v>31.219712525667351</v>
      </c>
      <c r="T32" s="161">
        <f t="shared" si="3"/>
        <v>3</v>
      </c>
      <c r="U32" s="135" t="str">
        <f>VLOOKUP(TableauBS[[#This Row],[Categorie age ]],$W$6:$Z$10,3,FALSE)</f>
        <v>de 30 ans à 45ans</v>
      </c>
      <c r="V32" s="114"/>
      <c r="W32" s="114"/>
      <c r="X32" s="114"/>
      <c r="Y32" s="114"/>
      <c r="Z32" s="114"/>
      <c r="AA32" s="114"/>
      <c r="AB32" s="114"/>
      <c r="AC32" s="14"/>
      <c r="AD32" s="23" t="s">
        <v>108</v>
      </c>
      <c r="AE32" s="15"/>
      <c r="AF32" s="15" t="s">
        <v>109</v>
      </c>
      <c r="AG32" s="16"/>
      <c r="AJ32" s="108" t="s">
        <v>176</v>
      </c>
      <c r="AK32" t="s">
        <v>180</v>
      </c>
      <c r="AO32" s="1"/>
      <c r="AP32" s="50"/>
      <c r="AQ32" s="50"/>
    </row>
    <row r="33" spans="2:43" x14ac:dyDescent="0.15">
      <c r="B33" s="1"/>
      <c r="C33" s="49" t="s">
        <v>43</v>
      </c>
      <c r="D33" s="8" t="s">
        <v>8</v>
      </c>
      <c r="E33" s="52">
        <v>33454</v>
      </c>
      <c r="F33" s="55">
        <v>43101</v>
      </c>
      <c r="G33" s="54">
        <v>1</v>
      </c>
      <c r="H33" s="54" t="str">
        <f>VLOOKUP(TableauBS[[#This Row],[Statut]],$AE$23:$AF$26,2,FALSE)</f>
        <v>Ouvrier</v>
      </c>
      <c r="I33" s="38">
        <v>25951</v>
      </c>
      <c r="J33" s="9">
        <v>10</v>
      </c>
      <c r="K33" s="9">
        <f>IF(TableauBS[[#This Row],[Absenteisme]]=0,"",1)</f>
        <v>1</v>
      </c>
      <c r="L33" s="10">
        <v>1</v>
      </c>
      <c r="M33" s="12" t="s">
        <v>130</v>
      </c>
      <c r="N33" s="146" t="s">
        <v>130</v>
      </c>
      <c r="O33" s="146"/>
      <c r="P33" s="150" t="str">
        <f t="shared" si="0"/>
        <v>Individu_34</v>
      </c>
      <c r="Q33" s="151">
        <f>($J$3-TableauBS[[#This Row],[D_Arrivée]])/365.25</f>
        <v>3.9972621492128679</v>
      </c>
      <c r="R33" s="220">
        <f t="shared" si="1"/>
        <v>1</v>
      </c>
      <c r="S33" s="151">
        <f t="shared" si="2"/>
        <v>30.409308692676248</v>
      </c>
      <c r="T33" s="161">
        <f t="shared" si="3"/>
        <v>3</v>
      </c>
      <c r="U33" s="135" t="str">
        <f>VLOOKUP(TableauBS[[#This Row],[Categorie age ]],$W$6:$Z$10,3,FALSE)</f>
        <v>de 30 ans à 45ans</v>
      </c>
      <c r="V33" s="114"/>
      <c r="W33" s="114"/>
      <c r="X33" s="114"/>
      <c r="Y33" s="114"/>
      <c r="Z33" s="114"/>
      <c r="AA33" s="114"/>
      <c r="AB33" s="114"/>
      <c r="AC33" s="14"/>
      <c r="AD33" s="15"/>
      <c r="AE33" s="15"/>
      <c r="AF33" s="15"/>
      <c r="AG33" s="16"/>
      <c r="AJ33" s="109">
        <v>1</v>
      </c>
      <c r="AK33" s="110">
        <v>345</v>
      </c>
      <c r="AO33" s="1"/>
      <c r="AP33" s="50"/>
      <c r="AQ33" s="50"/>
    </row>
    <row r="34" spans="2:43" x14ac:dyDescent="0.15">
      <c r="B34" s="1"/>
      <c r="C34" s="49" t="s">
        <v>45</v>
      </c>
      <c r="D34" s="8" t="s">
        <v>8</v>
      </c>
      <c r="E34" s="52">
        <v>33855</v>
      </c>
      <c r="F34" s="55">
        <v>42583</v>
      </c>
      <c r="G34" s="54">
        <v>1</v>
      </c>
      <c r="H34" s="54" t="str">
        <f>VLOOKUP(TableauBS[[#This Row],[Statut]],$AE$23:$AF$26,2,FALSE)</f>
        <v>Ouvrier</v>
      </c>
      <c r="I34" s="38">
        <v>28732</v>
      </c>
      <c r="J34" s="9">
        <v>0</v>
      </c>
      <c r="K34" s="9" t="str">
        <f>IF(TableauBS[[#This Row],[Absenteisme]]=0,"",1)</f>
        <v/>
      </c>
      <c r="L34" s="10">
        <v>1</v>
      </c>
      <c r="M34" s="12" t="s">
        <v>130</v>
      </c>
      <c r="N34" s="146" t="s">
        <v>130</v>
      </c>
      <c r="O34" s="146"/>
      <c r="P34" s="150" t="str">
        <f t="shared" si="0"/>
        <v>Individu_36</v>
      </c>
      <c r="Q34" s="151">
        <f>($J$3-TableauBS[[#This Row],[D_Arrivée]])/365.25</f>
        <v>5.415468856947296</v>
      </c>
      <c r="R34" s="220">
        <f t="shared" si="1"/>
        <v>2</v>
      </c>
      <c r="S34" s="151">
        <f t="shared" si="2"/>
        <v>29.311430527036276</v>
      </c>
      <c r="T34" s="161">
        <f t="shared" si="3"/>
        <v>2</v>
      </c>
      <c r="U34" s="135" t="str">
        <f>VLOOKUP(TableauBS[[#This Row],[Categorie age ]],$W$6:$Z$10,3,FALSE)</f>
        <v>de 20 ans à 30ans</v>
      </c>
      <c r="V34" s="114"/>
      <c r="W34" s="114"/>
      <c r="X34" s="114"/>
      <c r="Y34" s="114"/>
      <c r="Z34" s="114"/>
      <c r="AA34" s="114"/>
      <c r="AB34" s="114"/>
      <c r="AC34" s="14"/>
      <c r="AD34" s="22" t="s">
        <v>6</v>
      </c>
      <c r="AE34" s="15">
        <v>1</v>
      </c>
      <c r="AF34" s="15" t="s">
        <v>94</v>
      </c>
      <c r="AG34" s="16"/>
      <c r="AJ34" s="109">
        <v>2</v>
      </c>
      <c r="AK34" s="110">
        <v>69</v>
      </c>
      <c r="AO34" s="1"/>
      <c r="AP34" s="50"/>
      <c r="AQ34" s="50"/>
    </row>
    <row r="35" spans="2:43" x14ac:dyDescent="0.15">
      <c r="B35" s="1"/>
      <c r="C35" s="49" t="s">
        <v>46</v>
      </c>
      <c r="D35" s="8" t="s">
        <v>9</v>
      </c>
      <c r="E35" s="52">
        <v>34502</v>
      </c>
      <c r="F35" s="55">
        <v>42156</v>
      </c>
      <c r="G35" s="54">
        <v>1</v>
      </c>
      <c r="H35" s="54" t="str">
        <f>VLOOKUP(TableauBS[[#This Row],[Statut]],$AE$23:$AF$26,2,FALSE)</f>
        <v>Ouvrier</v>
      </c>
      <c r="I35" s="38">
        <v>27082</v>
      </c>
      <c r="J35" s="9">
        <v>0</v>
      </c>
      <c r="K35" s="9" t="str">
        <f>IF(TableauBS[[#This Row],[Absenteisme]]=0,"",1)</f>
        <v/>
      </c>
      <c r="L35" s="10">
        <v>1</v>
      </c>
      <c r="M35" s="12" t="s">
        <v>130</v>
      </c>
      <c r="N35" s="146" t="s">
        <v>130</v>
      </c>
      <c r="O35" s="146"/>
      <c r="P35" s="150" t="str">
        <f t="shared" si="0"/>
        <v>Individu_37</v>
      </c>
      <c r="Q35" s="151">
        <f>($J$3-TableauBS[[#This Row],[D_Arrivée]])/365.25</f>
        <v>6.584531143052704</v>
      </c>
      <c r="R35" s="220">
        <f t="shared" si="1"/>
        <v>2</v>
      </c>
      <c r="S35" s="151">
        <f t="shared" si="2"/>
        <v>27.540041067761805</v>
      </c>
      <c r="T35" s="161">
        <f t="shared" si="3"/>
        <v>2</v>
      </c>
      <c r="U35" s="135" t="str">
        <f>VLOOKUP(TableauBS[[#This Row],[Categorie age ]],$W$6:$Z$10,3,FALSE)</f>
        <v>de 20 ans à 30ans</v>
      </c>
      <c r="V35" s="114"/>
      <c r="W35" s="114"/>
      <c r="X35" s="114"/>
      <c r="Y35" s="114"/>
      <c r="Z35" s="114"/>
      <c r="AA35" s="114"/>
      <c r="AB35" s="114"/>
      <c r="AC35" s="14"/>
      <c r="AD35" s="15"/>
      <c r="AE35" s="15">
        <v>2</v>
      </c>
      <c r="AF35" s="15" t="s">
        <v>95</v>
      </c>
      <c r="AG35" s="16"/>
      <c r="AJ35" s="109">
        <v>3</v>
      </c>
      <c r="AK35" s="110">
        <v>30</v>
      </c>
      <c r="AO35" s="1"/>
      <c r="AP35" s="50"/>
      <c r="AQ35" s="50"/>
    </row>
    <row r="36" spans="2:43" x14ac:dyDescent="0.15">
      <c r="B36" s="1"/>
      <c r="C36" s="49" t="s">
        <v>47</v>
      </c>
      <c r="D36" s="8" t="s">
        <v>8</v>
      </c>
      <c r="E36" s="52">
        <v>34698</v>
      </c>
      <c r="F36" s="55">
        <v>42156</v>
      </c>
      <c r="G36" s="54">
        <v>1</v>
      </c>
      <c r="H36" s="54" t="str">
        <f>VLOOKUP(TableauBS[[#This Row],[Statut]],$AE$23:$AF$26,2,FALSE)</f>
        <v>Ouvrier</v>
      </c>
      <c r="I36" s="38">
        <v>26252</v>
      </c>
      <c r="J36" s="9">
        <v>2</v>
      </c>
      <c r="K36" s="9">
        <f>IF(TableauBS[[#This Row],[Absenteisme]]=0,"",1)</f>
        <v>1</v>
      </c>
      <c r="L36" s="10">
        <v>1</v>
      </c>
      <c r="M36" s="12" t="s">
        <v>130</v>
      </c>
      <c r="N36" s="146" t="s">
        <v>130</v>
      </c>
      <c r="O36" s="146"/>
      <c r="P36" s="150" t="str">
        <f t="shared" si="0"/>
        <v>Individu_38</v>
      </c>
      <c r="Q36" s="151">
        <f>($J$3-TableauBS[[#This Row],[D_Arrivée]])/365.25</f>
        <v>6.584531143052704</v>
      </c>
      <c r="R36" s="220">
        <f t="shared" si="1"/>
        <v>2</v>
      </c>
      <c r="S36" s="151">
        <f t="shared" si="2"/>
        <v>27.003422313483917</v>
      </c>
      <c r="T36" s="161">
        <f t="shared" si="3"/>
        <v>2</v>
      </c>
      <c r="U36" s="135" t="str">
        <f>VLOOKUP(TableauBS[[#This Row],[Categorie age ]],$W$6:$Z$10,3,FALSE)</f>
        <v>de 20 ans à 30ans</v>
      </c>
      <c r="V36" s="114"/>
      <c r="W36" s="114"/>
      <c r="X36" s="114"/>
      <c r="Y36" s="114"/>
      <c r="Z36" s="114"/>
      <c r="AA36" s="114"/>
      <c r="AB36" s="114"/>
      <c r="AC36" s="14"/>
      <c r="AD36" s="15"/>
      <c r="AE36" s="15">
        <v>3</v>
      </c>
      <c r="AF36" s="15" t="s">
        <v>96</v>
      </c>
      <c r="AG36" s="16"/>
      <c r="AJ36" s="109">
        <v>4</v>
      </c>
      <c r="AK36" s="110">
        <v>4</v>
      </c>
      <c r="AO36" s="1"/>
      <c r="AP36" s="50"/>
      <c r="AQ36" s="50"/>
    </row>
    <row r="37" spans="2:43" x14ac:dyDescent="0.15">
      <c r="B37" s="1"/>
      <c r="C37" s="49" t="s">
        <v>49</v>
      </c>
      <c r="D37" s="8" t="s">
        <v>9</v>
      </c>
      <c r="E37" s="52">
        <v>36065</v>
      </c>
      <c r="F37" s="55">
        <v>43282</v>
      </c>
      <c r="G37" s="54">
        <v>1</v>
      </c>
      <c r="H37" s="54" t="str">
        <f>VLOOKUP(TableauBS[[#This Row],[Statut]],$AE$23:$AF$26,2,FALSE)</f>
        <v>Ouvrier</v>
      </c>
      <c r="I37" s="38">
        <v>26059</v>
      </c>
      <c r="J37" s="9">
        <v>0</v>
      </c>
      <c r="K37" s="9" t="str">
        <f>IF(TableauBS[[#This Row],[Absenteisme]]=0,"",1)</f>
        <v/>
      </c>
      <c r="L37" s="10">
        <v>1</v>
      </c>
      <c r="M37" s="12" t="s">
        <v>130</v>
      </c>
      <c r="N37" s="146" t="s">
        <v>130</v>
      </c>
      <c r="O37" s="146"/>
      <c r="P37" s="150" t="str">
        <f t="shared" si="0"/>
        <v>Individu_40</v>
      </c>
      <c r="Q37" s="151">
        <f>($J$3-TableauBS[[#This Row],[D_Arrivée]])/365.25</f>
        <v>3.5017111567419574</v>
      </c>
      <c r="R37" s="220">
        <f t="shared" si="1"/>
        <v>1</v>
      </c>
      <c r="S37" s="151">
        <f t="shared" si="2"/>
        <v>23.260780287474333</v>
      </c>
      <c r="T37" s="161">
        <f t="shared" si="3"/>
        <v>2</v>
      </c>
      <c r="U37" s="135" t="str">
        <f>VLOOKUP(TableauBS[[#This Row],[Categorie age ]],$W$6:$Z$10,3,FALSE)</f>
        <v>de 20 ans à 30ans</v>
      </c>
      <c r="V37" s="114"/>
      <c r="W37" s="114"/>
      <c r="X37" s="114"/>
      <c r="Y37" s="114"/>
      <c r="Z37" s="114"/>
      <c r="AA37" s="114"/>
      <c r="AB37" s="114"/>
      <c r="AC37" s="14"/>
      <c r="AD37" s="15"/>
      <c r="AE37" s="15">
        <v>4</v>
      </c>
      <c r="AF37" s="15" t="s">
        <v>97</v>
      </c>
      <c r="AG37" s="16"/>
      <c r="AJ37" s="109" t="s">
        <v>177</v>
      </c>
      <c r="AK37" s="110">
        <v>448</v>
      </c>
      <c r="AO37" s="1"/>
      <c r="AP37" s="50"/>
      <c r="AQ37" s="50"/>
    </row>
    <row r="38" spans="2:43" x14ac:dyDescent="0.15">
      <c r="B38" s="1"/>
      <c r="C38" s="49" t="s">
        <v>53</v>
      </c>
      <c r="D38" s="8" t="s">
        <v>8</v>
      </c>
      <c r="E38" s="52">
        <v>34633</v>
      </c>
      <c r="F38" s="55">
        <v>41334</v>
      </c>
      <c r="G38" s="54">
        <v>3</v>
      </c>
      <c r="H38" s="54" t="str">
        <f>VLOOKUP(TableauBS[[#This Row],[Statut]],$AE$23:$AF$26,2,FALSE)</f>
        <v>Cadre</v>
      </c>
      <c r="I38" s="38">
        <v>50237</v>
      </c>
      <c r="J38" s="8">
        <v>2</v>
      </c>
      <c r="K38" s="9">
        <f>IF(TableauBS[[#This Row],[Absenteisme]]=0,"",1)</f>
        <v>1</v>
      </c>
      <c r="L38" s="10">
        <v>1</v>
      </c>
      <c r="M38" s="12" t="s">
        <v>130</v>
      </c>
      <c r="N38" s="146" t="s">
        <v>130</v>
      </c>
      <c r="O38" s="146"/>
      <c r="P38" s="150" t="str">
        <f t="shared" ref="P38:P69" si="6">C38</f>
        <v>Individu_41</v>
      </c>
      <c r="Q38" s="151">
        <f>($J$3-TableauBS[[#This Row],[D_Arrivée]])/365.25</f>
        <v>8.8350444900752905</v>
      </c>
      <c r="R38" s="220">
        <f t="shared" ref="R38:R69" si="7">IF(Q38&lt;=$X$14,1,IF(Q38&lt;=$X$15,2,IF(Q38&lt;=$X$16,3,IF(Q38&lt;=$X$17,4,IF(Q38&lt;=$X$18,5,6)))))</f>
        <v>2</v>
      </c>
      <c r="S38" s="151">
        <f t="shared" ref="S38:S69" si="8">($J$3-E38)/365.25</f>
        <v>27.1813826146475</v>
      </c>
      <c r="T38" s="161">
        <f t="shared" ref="T38:T69" si="9">IF(S38&lt;=$X$6,1,IF(S38&lt;=$X$7,2,IF(S38&lt;=$X$8,3,IF(S38&lt;=$X$10,4,5))))</f>
        <v>2</v>
      </c>
      <c r="U38" s="135" t="str">
        <f>VLOOKUP(TableauBS[[#This Row],[Categorie age ]],$W$6:$Z$10,3,FALSE)</f>
        <v>de 20 ans à 30ans</v>
      </c>
      <c r="V38" s="114"/>
      <c r="W38" s="114"/>
      <c r="X38" s="114"/>
      <c r="Y38" s="114"/>
      <c r="Z38" s="114"/>
      <c r="AA38" s="114"/>
      <c r="AB38" s="114"/>
      <c r="AC38" s="14"/>
      <c r="AD38" s="15"/>
      <c r="AE38" s="15">
        <v>5</v>
      </c>
      <c r="AF38" s="15" t="s">
        <v>98</v>
      </c>
      <c r="AG38" s="16"/>
      <c r="AO38" s="1"/>
      <c r="AP38" s="50"/>
      <c r="AQ38" s="50"/>
    </row>
    <row r="39" spans="2:43" x14ac:dyDescent="0.15">
      <c r="B39" s="1"/>
      <c r="C39" s="49" t="s">
        <v>55</v>
      </c>
      <c r="D39" s="8" t="s">
        <v>9</v>
      </c>
      <c r="E39" s="52">
        <v>28568</v>
      </c>
      <c r="F39" s="55">
        <v>36892</v>
      </c>
      <c r="G39" s="54">
        <v>4</v>
      </c>
      <c r="H39" s="54" t="str">
        <f>VLOOKUP(TableauBS[[#This Row],[Statut]],$AE$23:$AF$26,2,FALSE)</f>
        <v>Directeur</v>
      </c>
      <c r="I39" s="38">
        <v>103749</v>
      </c>
      <c r="J39" s="8">
        <v>0</v>
      </c>
      <c r="K39" s="9" t="str">
        <f>IF(TableauBS[[#This Row],[Absenteisme]]=0,"",1)</f>
        <v/>
      </c>
      <c r="L39" s="10">
        <v>1</v>
      </c>
      <c r="M39" s="12" t="s">
        <v>130</v>
      </c>
      <c r="N39" s="146" t="s">
        <v>130</v>
      </c>
      <c r="O39" s="146"/>
      <c r="P39" s="150" t="str">
        <f t="shared" si="6"/>
        <v>Individu_43</v>
      </c>
      <c r="Q39" s="151">
        <f>($J$3-TableauBS[[#This Row],[D_Arrivée]])/365.25</f>
        <v>20.996577686516083</v>
      </c>
      <c r="R39" s="220">
        <f t="shared" si="7"/>
        <v>4</v>
      </c>
      <c r="S39" s="151">
        <f t="shared" si="8"/>
        <v>43.786447638603697</v>
      </c>
      <c r="T39" s="161">
        <f t="shared" si="9"/>
        <v>3</v>
      </c>
      <c r="U39" s="135" t="str">
        <f>VLOOKUP(TableauBS[[#This Row],[Categorie age ]],$W$6:$Z$10,3,FALSE)</f>
        <v>de 30 ans à 45ans</v>
      </c>
      <c r="V39" s="114"/>
      <c r="W39" s="114"/>
      <c r="X39" s="114"/>
      <c r="Y39" s="114"/>
      <c r="Z39" s="114"/>
      <c r="AA39" s="114"/>
      <c r="AB39" s="114"/>
      <c r="AC39" s="14"/>
      <c r="AD39" s="15"/>
      <c r="AE39" s="15">
        <v>6</v>
      </c>
      <c r="AF39" s="15" t="s">
        <v>99</v>
      </c>
      <c r="AG39" s="16"/>
      <c r="AO39" s="1"/>
      <c r="AP39" s="50"/>
      <c r="AQ39" s="50"/>
    </row>
    <row r="40" spans="2:43" x14ac:dyDescent="0.15">
      <c r="B40" s="1"/>
      <c r="C40" s="49" t="s">
        <v>56</v>
      </c>
      <c r="D40" s="8" t="s">
        <v>8</v>
      </c>
      <c r="E40" s="52">
        <v>29704</v>
      </c>
      <c r="F40" s="55">
        <v>42491</v>
      </c>
      <c r="G40" s="54">
        <v>1</v>
      </c>
      <c r="H40" s="54" t="str">
        <f>VLOOKUP(TableauBS[[#This Row],[Statut]],$AE$23:$AF$26,2,FALSE)</f>
        <v>Ouvrier</v>
      </c>
      <c r="I40" s="38">
        <v>23826</v>
      </c>
      <c r="J40" s="8">
        <v>0</v>
      </c>
      <c r="K40" s="9" t="str">
        <f>IF(TableauBS[[#This Row],[Absenteisme]]=0,"",1)</f>
        <v/>
      </c>
      <c r="L40" s="10">
        <v>0.8</v>
      </c>
      <c r="M40" s="12" t="s">
        <v>130</v>
      </c>
      <c r="N40" s="146" t="s">
        <v>130</v>
      </c>
      <c r="O40" s="146"/>
      <c r="P40" s="150" t="str">
        <f t="shared" si="6"/>
        <v>Individu_44</v>
      </c>
      <c r="Q40" s="151">
        <f>($J$3-TableauBS[[#This Row],[D_Arrivée]])/365.25</f>
        <v>5.6673511293634498</v>
      </c>
      <c r="R40" s="220">
        <f t="shared" si="7"/>
        <v>2</v>
      </c>
      <c r="S40" s="151">
        <f t="shared" si="8"/>
        <v>40.676249144421632</v>
      </c>
      <c r="T40" s="161">
        <f t="shared" si="9"/>
        <v>3</v>
      </c>
      <c r="U40" s="135" t="str">
        <f>VLOOKUP(TableauBS[[#This Row],[Categorie age ]],$W$6:$Z$10,3,FALSE)</f>
        <v>de 30 ans à 45ans</v>
      </c>
      <c r="V40" s="114"/>
      <c r="W40" s="114"/>
      <c r="X40" s="114"/>
      <c r="Y40" s="114"/>
      <c r="Z40" s="114"/>
      <c r="AA40" s="114"/>
      <c r="AB40" s="114"/>
      <c r="AC40" s="14"/>
      <c r="AD40" s="15"/>
      <c r="AE40" s="15">
        <v>7</v>
      </c>
      <c r="AF40" s="15" t="s">
        <v>100</v>
      </c>
      <c r="AG40" s="16"/>
      <c r="AO40" s="1"/>
      <c r="AP40" s="50"/>
      <c r="AQ40" s="50"/>
    </row>
    <row r="41" spans="2:43" x14ac:dyDescent="0.15">
      <c r="B41" s="1"/>
      <c r="C41" s="49" t="s">
        <v>57</v>
      </c>
      <c r="D41" s="8" t="s">
        <v>8</v>
      </c>
      <c r="E41" s="52">
        <v>30563</v>
      </c>
      <c r="F41" s="55">
        <v>43435</v>
      </c>
      <c r="G41" s="54">
        <v>1</v>
      </c>
      <c r="H41" s="54" t="str">
        <f>VLOOKUP(TableauBS[[#This Row],[Statut]],$AE$23:$AF$26,2,FALSE)</f>
        <v>Ouvrier</v>
      </c>
      <c r="I41" s="38">
        <v>27903</v>
      </c>
      <c r="J41" s="8">
        <v>0</v>
      </c>
      <c r="K41" s="9" t="str">
        <f>IF(TableauBS[[#This Row],[Absenteisme]]=0,"",1)</f>
        <v/>
      </c>
      <c r="L41" s="10">
        <v>1</v>
      </c>
      <c r="M41" s="12" t="s">
        <v>130</v>
      </c>
      <c r="N41" s="146" t="s">
        <v>130</v>
      </c>
      <c r="O41" s="146"/>
      <c r="P41" s="150" t="str">
        <f t="shared" si="6"/>
        <v>Individu_45</v>
      </c>
      <c r="Q41" s="151">
        <f>($J$3-TableauBS[[#This Row],[D_Arrivée]])/365.25</f>
        <v>3.0828199863107462</v>
      </c>
      <c r="R41" s="220">
        <f t="shared" si="7"/>
        <v>1</v>
      </c>
      <c r="S41" s="151">
        <f t="shared" si="8"/>
        <v>38.324435318275157</v>
      </c>
      <c r="T41" s="161">
        <f t="shared" si="9"/>
        <v>3</v>
      </c>
      <c r="U41" s="135" t="str">
        <f>VLOOKUP(TableauBS[[#This Row],[Categorie age ]],$W$6:$Z$10,3,FALSE)</f>
        <v>de 30 ans à 45ans</v>
      </c>
      <c r="V41" s="114"/>
      <c r="W41" s="114"/>
      <c r="X41" s="114"/>
      <c r="Y41" s="114"/>
      <c r="Z41" s="114"/>
      <c r="AA41" s="114"/>
      <c r="AB41" s="114"/>
      <c r="AC41" s="14"/>
      <c r="AD41" s="15"/>
      <c r="AE41" s="15"/>
      <c r="AF41" s="15"/>
      <c r="AG41" s="16"/>
      <c r="AJ41" s="108" t="s">
        <v>176</v>
      </c>
      <c r="AK41" t="s">
        <v>181</v>
      </c>
      <c r="AO41" s="1"/>
      <c r="AP41" s="50"/>
      <c r="AQ41" s="50"/>
    </row>
    <row r="42" spans="2:43" x14ac:dyDescent="0.15">
      <c r="B42" s="1"/>
      <c r="C42" s="49" t="s">
        <v>60</v>
      </c>
      <c r="D42" s="8" t="s">
        <v>8</v>
      </c>
      <c r="E42" s="52">
        <v>36173</v>
      </c>
      <c r="F42" s="55">
        <v>43617</v>
      </c>
      <c r="G42" s="54">
        <v>1</v>
      </c>
      <c r="H42" s="54" t="str">
        <f>VLOOKUP(TableauBS[[#This Row],[Statut]],$AE$23:$AF$26,2,FALSE)</f>
        <v>Ouvrier</v>
      </c>
      <c r="I42" s="38">
        <v>27854</v>
      </c>
      <c r="J42" s="8">
        <v>26</v>
      </c>
      <c r="K42" s="9">
        <f>IF(TableauBS[[#This Row],[Absenteisme]]=0,"",1)</f>
        <v>1</v>
      </c>
      <c r="L42" s="10">
        <v>1</v>
      </c>
      <c r="M42" s="12" t="s">
        <v>130</v>
      </c>
      <c r="N42" s="146" t="s">
        <v>130</v>
      </c>
      <c r="O42" s="146"/>
      <c r="P42" s="150" t="str">
        <f t="shared" si="6"/>
        <v>Individu_48</v>
      </c>
      <c r="Q42" s="151">
        <f>($J$3-TableauBS[[#This Row],[D_Arrivée]])/365.25</f>
        <v>2.5845311430527036</v>
      </c>
      <c r="R42" s="220">
        <f t="shared" si="7"/>
        <v>1</v>
      </c>
      <c r="S42" s="151">
        <f t="shared" si="8"/>
        <v>22.965092402464066</v>
      </c>
      <c r="T42" s="161">
        <f t="shared" si="9"/>
        <v>2</v>
      </c>
      <c r="U42" s="135" t="str">
        <f>VLOOKUP(TableauBS[[#This Row],[Categorie age ]],$W$6:$Z$10,3,FALSE)</f>
        <v>de 20 ans à 30ans</v>
      </c>
      <c r="V42" s="114"/>
      <c r="W42" s="114"/>
      <c r="X42" s="114"/>
      <c r="Y42" s="114"/>
      <c r="Z42" s="114"/>
      <c r="AA42" s="114"/>
      <c r="AB42" s="114"/>
      <c r="AC42" s="14"/>
      <c r="AD42" s="24" t="s">
        <v>115</v>
      </c>
      <c r="AE42" s="15"/>
      <c r="AF42" s="15"/>
      <c r="AG42" s="16"/>
      <c r="AJ42" s="109" t="s">
        <v>9</v>
      </c>
      <c r="AK42" s="110">
        <v>52</v>
      </c>
      <c r="AO42" s="1"/>
      <c r="AP42" s="50"/>
      <c r="AQ42" s="50"/>
    </row>
    <row r="43" spans="2:43" x14ac:dyDescent="0.15">
      <c r="B43" s="1"/>
      <c r="C43" s="49" t="s">
        <v>61</v>
      </c>
      <c r="D43" s="8" t="s">
        <v>8</v>
      </c>
      <c r="E43" s="52">
        <v>32980</v>
      </c>
      <c r="F43" s="55">
        <v>41883</v>
      </c>
      <c r="G43" s="54">
        <v>3</v>
      </c>
      <c r="H43" s="54" t="str">
        <f>VLOOKUP(TableauBS[[#This Row],[Statut]],$AE$23:$AF$26,2,FALSE)</f>
        <v>Cadre</v>
      </c>
      <c r="I43" s="38">
        <v>54312</v>
      </c>
      <c r="J43" s="8">
        <v>0</v>
      </c>
      <c r="K43" s="9" t="str">
        <f>IF(TableauBS[[#This Row],[Absenteisme]]=0,"",1)</f>
        <v/>
      </c>
      <c r="L43" s="10">
        <v>1</v>
      </c>
      <c r="M43" s="12" t="s">
        <v>130</v>
      </c>
      <c r="N43" s="146" t="s">
        <v>130</v>
      </c>
      <c r="O43" s="146"/>
      <c r="P43" s="150" t="str">
        <f t="shared" si="6"/>
        <v>Individu_49</v>
      </c>
      <c r="Q43" s="151">
        <f>($J$3-TableauBS[[#This Row],[D_Arrivée]])/365.25</f>
        <v>7.3319644079397674</v>
      </c>
      <c r="R43" s="220">
        <f t="shared" si="7"/>
        <v>2</v>
      </c>
      <c r="S43" s="151">
        <f t="shared" si="8"/>
        <v>31.707049965776864</v>
      </c>
      <c r="T43" s="161">
        <f t="shared" si="9"/>
        <v>3</v>
      </c>
      <c r="U43" s="135" t="str">
        <f>VLOOKUP(TableauBS[[#This Row],[Categorie age ]],$W$6:$Z$10,3,FALSE)</f>
        <v>de 30 ans à 45ans</v>
      </c>
      <c r="V43" s="114"/>
      <c r="W43" s="114"/>
      <c r="X43" s="114"/>
      <c r="Y43" s="114"/>
      <c r="Z43" s="114"/>
      <c r="AA43" s="114"/>
      <c r="AB43" s="114"/>
      <c r="AC43" s="14"/>
      <c r="AD43" s="15"/>
      <c r="AE43" s="15"/>
      <c r="AF43" s="15"/>
      <c r="AG43" s="16"/>
      <c r="AJ43" s="109" t="s">
        <v>8</v>
      </c>
      <c r="AK43" s="110">
        <v>70</v>
      </c>
      <c r="AO43" s="1"/>
      <c r="AP43" s="50"/>
      <c r="AQ43" s="50"/>
    </row>
    <row r="44" spans="2:43" x14ac:dyDescent="0.15">
      <c r="B44" s="1"/>
      <c r="C44" s="49" t="s">
        <v>62</v>
      </c>
      <c r="D44" s="8" t="s">
        <v>9</v>
      </c>
      <c r="E44" s="52">
        <v>34560</v>
      </c>
      <c r="F44" s="55">
        <v>42156</v>
      </c>
      <c r="G44" s="54">
        <v>2</v>
      </c>
      <c r="H44" s="54" t="str">
        <f>VLOOKUP(TableauBS[[#This Row],[Statut]],$AE$23:$AF$26,2,FALSE)</f>
        <v>Employé</v>
      </c>
      <c r="I44" s="38">
        <v>44203</v>
      </c>
      <c r="J44" s="8">
        <v>1</v>
      </c>
      <c r="K44" s="9">
        <f>IF(TableauBS[[#This Row],[Absenteisme]]=0,"",1)</f>
        <v>1</v>
      </c>
      <c r="L44" s="10">
        <v>1</v>
      </c>
      <c r="M44" s="12" t="s">
        <v>130</v>
      </c>
      <c r="N44" s="146" t="s">
        <v>130</v>
      </c>
      <c r="O44" s="146"/>
      <c r="P44" s="150" t="str">
        <f t="shared" si="6"/>
        <v>Individu_50</v>
      </c>
      <c r="Q44" s="151">
        <f>($J$3-TableauBS[[#This Row],[D_Arrivée]])/365.25</f>
        <v>6.584531143052704</v>
      </c>
      <c r="R44" s="220">
        <f t="shared" si="7"/>
        <v>2</v>
      </c>
      <c r="S44" s="151">
        <f t="shared" si="8"/>
        <v>27.381245722108144</v>
      </c>
      <c r="T44" s="161">
        <f t="shared" si="9"/>
        <v>2</v>
      </c>
      <c r="U44" s="135" t="str">
        <f>VLOOKUP(TableauBS[[#This Row],[Categorie age ]],$W$6:$Z$10,3,FALSE)</f>
        <v>de 20 ans à 30ans</v>
      </c>
      <c r="V44" s="114"/>
      <c r="W44" s="114"/>
      <c r="X44" s="114"/>
      <c r="Y44" s="114"/>
      <c r="Z44" s="114"/>
      <c r="AA44" s="114"/>
      <c r="AB44" s="114"/>
      <c r="AC44" s="14"/>
      <c r="AD44" s="15" t="s">
        <v>114</v>
      </c>
      <c r="AE44" s="15"/>
      <c r="AF44" s="15"/>
      <c r="AG44" s="16"/>
      <c r="AJ44" s="109" t="s">
        <v>177</v>
      </c>
      <c r="AK44" s="110">
        <v>122</v>
      </c>
      <c r="AO44" s="1"/>
      <c r="AP44" s="50"/>
      <c r="AQ44" s="50"/>
    </row>
    <row r="45" spans="2:43" x14ac:dyDescent="0.15">
      <c r="B45" s="1"/>
      <c r="C45" s="49" t="s">
        <v>63</v>
      </c>
      <c r="D45" s="8" t="s">
        <v>8</v>
      </c>
      <c r="E45" s="52">
        <v>30981</v>
      </c>
      <c r="F45" s="55">
        <v>39661</v>
      </c>
      <c r="G45" s="54">
        <v>1</v>
      </c>
      <c r="H45" s="54" t="str">
        <f>VLOOKUP(TableauBS[[#This Row],[Statut]],$AE$23:$AF$26,2,FALSE)</f>
        <v>Ouvrier</v>
      </c>
      <c r="I45" s="38">
        <v>27680</v>
      </c>
      <c r="J45" s="8">
        <v>0</v>
      </c>
      <c r="K45" s="9" t="str">
        <f>IF(TableauBS[[#This Row],[Absenteisme]]=0,"",1)</f>
        <v/>
      </c>
      <c r="L45" s="10">
        <v>1</v>
      </c>
      <c r="M45" s="12" t="s">
        <v>130</v>
      </c>
      <c r="N45" s="146" t="s">
        <v>130</v>
      </c>
      <c r="O45" s="146"/>
      <c r="P45" s="150" t="str">
        <f t="shared" si="6"/>
        <v>Individu_51</v>
      </c>
      <c r="Q45" s="151">
        <f>($J$3-TableauBS[[#This Row],[D_Arrivée]])/365.25</f>
        <v>13.415468856947296</v>
      </c>
      <c r="R45" s="220">
        <f t="shared" si="7"/>
        <v>3</v>
      </c>
      <c r="S45" s="151">
        <f t="shared" si="8"/>
        <v>37.180013689253933</v>
      </c>
      <c r="T45" s="161">
        <f t="shared" si="9"/>
        <v>3</v>
      </c>
      <c r="U45" s="135" t="str">
        <f>VLOOKUP(TableauBS[[#This Row],[Categorie age ]],$W$6:$Z$10,3,FALSE)</f>
        <v>de 30 ans à 45ans</v>
      </c>
      <c r="V45" s="114"/>
      <c r="W45" s="114"/>
      <c r="X45" s="114"/>
      <c r="Y45" s="114"/>
      <c r="Z45" s="114"/>
      <c r="AA45" s="114"/>
      <c r="AB45" s="114"/>
      <c r="AC45" s="14"/>
      <c r="AD45" s="15"/>
      <c r="AE45" s="15"/>
      <c r="AF45" s="15"/>
      <c r="AG45" s="16"/>
      <c r="AO45" s="1"/>
      <c r="AP45" s="50"/>
      <c r="AQ45" s="50"/>
    </row>
    <row r="46" spans="2:43" x14ac:dyDescent="0.15">
      <c r="B46" s="1"/>
      <c r="C46" s="49" t="s">
        <v>65</v>
      </c>
      <c r="D46" s="8" t="s">
        <v>9</v>
      </c>
      <c r="E46" s="52">
        <v>26400</v>
      </c>
      <c r="F46" s="55">
        <v>35186</v>
      </c>
      <c r="G46" s="54">
        <v>2</v>
      </c>
      <c r="H46" s="54" t="str">
        <f>VLOOKUP(TableauBS[[#This Row],[Statut]],$AE$23:$AF$26,2,FALSE)</f>
        <v>Employé</v>
      </c>
      <c r="I46" s="38">
        <v>29245</v>
      </c>
      <c r="J46" s="8">
        <v>1</v>
      </c>
      <c r="K46" s="9">
        <f>IF(TableauBS[[#This Row],[Absenteisme]]=0,"",1)</f>
        <v>1</v>
      </c>
      <c r="L46" s="10">
        <v>1</v>
      </c>
      <c r="M46" s="12" t="s">
        <v>130</v>
      </c>
      <c r="N46" s="146" t="s">
        <v>130</v>
      </c>
      <c r="O46" s="146"/>
      <c r="P46" s="150" t="str">
        <f t="shared" si="6"/>
        <v>Individu_53</v>
      </c>
      <c r="Q46" s="151">
        <f>($J$3-TableauBS[[#This Row],[D_Arrivée]])/365.25</f>
        <v>25.66735112936345</v>
      </c>
      <c r="R46" s="220">
        <f t="shared" si="7"/>
        <v>4</v>
      </c>
      <c r="S46" s="151">
        <f t="shared" si="8"/>
        <v>49.722108145106091</v>
      </c>
      <c r="T46" s="161">
        <f t="shared" si="9"/>
        <v>4</v>
      </c>
      <c r="U46" s="135" t="str">
        <f>VLOOKUP(TableauBS[[#This Row],[Categorie age ]],$W$6:$Z$10,3,FALSE)</f>
        <v>de 45 ans à 50ans</v>
      </c>
      <c r="V46" s="114"/>
      <c r="W46" s="114"/>
      <c r="X46" s="114"/>
      <c r="Y46" s="114"/>
      <c r="Z46" s="114"/>
      <c r="AA46" s="114"/>
      <c r="AB46" s="114"/>
      <c r="AC46" s="14"/>
      <c r="AD46" s="19"/>
      <c r="AE46" s="19"/>
      <c r="AF46" s="19"/>
      <c r="AG46" s="20"/>
      <c r="AO46" s="1"/>
      <c r="AP46" s="50"/>
      <c r="AQ46" s="50"/>
    </row>
    <row r="47" spans="2:43" x14ac:dyDescent="0.15">
      <c r="B47" s="1"/>
      <c r="C47" s="49" t="s">
        <v>66</v>
      </c>
      <c r="D47" s="8" t="s">
        <v>8</v>
      </c>
      <c r="E47" s="52">
        <v>33776</v>
      </c>
      <c r="F47" s="55">
        <v>42887</v>
      </c>
      <c r="G47" s="54">
        <v>1</v>
      </c>
      <c r="H47" s="54" t="str">
        <f>VLOOKUP(TableauBS[[#This Row],[Statut]],$AE$23:$AF$26,2,FALSE)</f>
        <v>Ouvrier</v>
      </c>
      <c r="I47" s="38">
        <v>29109</v>
      </c>
      <c r="J47" s="8">
        <v>1</v>
      </c>
      <c r="K47" s="9">
        <f>IF(TableauBS[[#This Row],[Absenteisme]]=0,"",1)</f>
        <v>1</v>
      </c>
      <c r="L47" s="10">
        <v>1</v>
      </c>
      <c r="M47" s="12" t="s">
        <v>130</v>
      </c>
      <c r="N47" s="146" t="s">
        <v>130</v>
      </c>
      <c r="O47" s="146"/>
      <c r="P47" s="150" t="str">
        <f t="shared" si="6"/>
        <v>Individu_54</v>
      </c>
      <c r="Q47" s="151">
        <f>($J$3-TableauBS[[#This Row],[D_Arrivée]])/365.25</f>
        <v>4.5831622176591376</v>
      </c>
      <c r="R47" s="220">
        <f t="shared" si="7"/>
        <v>1</v>
      </c>
      <c r="S47" s="151">
        <f t="shared" si="8"/>
        <v>29.527720739219713</v>
      </c>
      <c r="T47" s="161">
        <f t="shared" si="9"/>
        <v>2</v>
      </c>
      <c r="U47" s="135" t="str">
        <f>VLOOKUP(TableauBS[[#This Row],[Categorie age ]],$W$6:$Z$10,3,FALSE)</f>
        <v>de 20 ans à 30ans</v>
      </c>
      <c r="V47" s="114"/>
      <c r="W47" s="114"/>
      <c r="X47" s="114"/>
      <c r="Y47" s="114"/>
      <c r="Z47" s="114"/>
      <c r="AA47" s="114"/>
      <c r="AB47" s="114"/>
      <c r="AC47" s="18"/>
      <c r="AJ47" s="108" t="s">
        <v>183</v>
      </c>
      <c r="AK47" s="108" t="s">
        <v>178</v>
      </c>
      <c r="AO47" s="1"/>
      <c r="AP47" s="50"/>
      <c r="AQ47" s="50"/>
    </row>
    <row r="48" spans="2:43" x14ac:dyDescent="0.15">
      <c r="B48" s="1"/>
      <c r="C48" s="49" t="s">
        <v>67</v>
      </c>
      <c r="D48" s="8" t="s">
        <v>9</v>
      </c>
      <c r="E48" s="52">
        <v>28683</v>
      </c>
      <c r="F48" s="55">
        <v>41061</v>
      </c>
      <c r="G48" s="54">
        <v>2</v>
      </c>
      <c r="H48" s="54" t="str">
        <f>VLOOKUP(TableauBS[[#This Row],[Statut]],$AE$23:$AF$26,2,FALSE)</f>
        <v>Employé</v>
      </c>
      <c r="I48" s="38">
        <v>33352</v>
      </c>
      <c r="J48" s="8">
        <v>0</v>
      </c>
      <c r="K48" s="9" t="str">
        <f>IF(TableauBS[[#This Row],[Absenteisme]]=0,"",1)</f>
        <v/>
      </c>
      <c r="L48" s="10">
        <v>1</v>
      </c>
      <c r="M48" s="12" t="s">
        <v>130</v>
      </c>
      <c r="N48" s="146" t="s">
        <v>130</v>
      </c>
      <c r="O48" s="146"/>
      <c r="P48" s="150" t="str">
        <f t="shared" si="6"/>
        <v>Individu_55</v>
      </c>
      <c r="Q48" s="151">
        <f>($J$3-TableauBS[[#This Row],[D_Arrivée]])/365.25</f>
        <v>9.5824777549623548</v>
      </c>
      <c r="R48" s="220">
        <f t="shared" si="7"/>
        <v>2</v>
      </c>
      <c r="S48" s="151">
        <f t="shared" si="8"/>
        <v>43.471594798083501</v>
      </c>
      <c r="T48" s="161">
        <f t="shared" si="9"/>
        <v>3</v>
      </c>
      <c r="U48" s="135" t="str">
        <f>VLOOKUP(TableauBS[[#This Row],[Categorie age ]],$W$6:$Z$10,3,FALSE)</f>
        <v>de 30 ans à 45ans</v>
      </c>
      <c r="V48" s="114"/>
      <c r="W48" s="114"/>
      <c r="X48" s="114"/>
      <c r="Y48" s="114"/>
      <c r="Z48" s="114"/>
      <c r="AA48" s="114"/>
      <c r="AB48" s="114"/>
      <c r="AJ48" s="108" t="s">
        <v>176</v>
      </c>
      <c r="AK48" t="s">
        <v>9</v>
      </c>
      <c r="AL48" t="s">
        <v>8</v>
      </c>
      <c r="AM48" t="s">
        <v>177</v>
      </c>
      <c r="AO48" s="1"/>
      <c r="AP48" s="50"/>
      <c r="AQ48" s="50"/>
    </row>
    <row r="49" spans="2:43" x14ac:dyDescent="0.15">
      <c r="B49" s="1"/>
      <c r="C49" s="49" t="s">
        <v>68</v>
      </c>
      <c r="D49" s="8" t="s">
        <v>9</v>
      </c>
      <c r="E49" s="52">
        <v>22267</v>
      </c>
      <c r="F49" s="55">
        <v>28915</v>
      </c>
      <c r="G49" s="54">
        <v>1</v>
      </c>
      <c r="H49" s="54" t="str">
        <f>VLOOKUP(TableauBS[[#This Row],[Statut]],$AE$23:$AF$26,2,FALSE)</f>
        <v>Ouvrier</v>
      </c>
      <c r="I49" s="38">
        <v>29545</v>
      </c>
      <c r="J49" s="8">
        <v>110</v>
      </c>
      <c r="K49" s="9">
        <f>IF(TableauBS[[#This Row],[Absenteisme]]=0,"",1)</f>
        <v>1</v>
      </c>
      <c r="L49" s="10">
        <v>1</v>
      </c>
      <c r="M49" s="12" t="s">
        <v>130</v>
      </c>
      <c r="N49" s="146" t="s">
        <v>130</v>
      </c>
      <c r="O49" s="146"/>
      <c r="P49" s="150" t="str">
        <f t="shared" si="6"/>
        <v>Individu_56</v>
      </c>
      <c r="Q49" s="151">
        <f>($J$3-TableauBS[[#This Row],[D_Arrivée]])/365.25</f>
        <v>42.836413415468854</v>
      </c>
      <c r="R49" s="220">
        <f t="shared" si="7"/>
        <v>6</v>
      </c>
      <c r="S49" s="151">
        <f t="shared" si="8"/>
        <v>61.037645448323069</v>
      </c>
      <c r="T49" s="161">
        <f t="shared" si="9"/>
        <v>5</v>
      </c>
      <c r="U49" s="135" t="str">
        <f>VLOOKUP(TableauBS[[#This Row],[Categorie age ]],$W$6:$Z$10,3,FALSE)</f>
        <v xml:space="preserve">superieur à 50 ans </v>
      </c>
      <c r="V49" s="114"/>
      <c r="W49" s="114"/>
      <c r="X49" s="114"/>
      <c r="Y49" s="114"/>
      <c r="Z49" s="114"/>
      <c r="AA49" s="114"/>
      <c r="AB49" s="114"/>
      <c r="AJ49" s="109">
        <v>1</v>
      </c>
      <c r="AK49" s="110">
        <v>13</v>
      </c>
      <c r="AL49" s="110">
        <v>15</v>
      </c>
      <c r="AM49" s="110">
        <v>28</v>
      </c>
      <c r="AO49" s="1"/>
      <c r="AP49" s="50"/>
      <c r="AQ49" s="50"/>
    </row>
    <row r="50" spans="2:43" x14ac:dyDescent="0.15">
      <c r="B50" s="1"/>
      <c r="C50" s="49" t="s">
        <v>69</v>
      </c>
      <c r="D50" s="8" t="s">
        <v>9</v>
      </c>
      <c r="E50" s="52">
        <v>34807</v>
      </c>
      <c r="F50" s="55">
        <v>42156</v>
      </c>
      <c r="G50" s="54">
        <v>2</v>
      </c>
      <c r="H50" s="54" t="str">
        <f>VLOOKUP(TableauBS[[#This Row],[Statut]],$AE$23:$AF$26,2,FALSE)</f>
        <v>Employé</v>
      </c>
      <c r="I50" s="38">
        <v>33734</v>
      </c>
      <c r="J50" s="8">
        <v>0</v>
      </c>
      <c r="K50" s="9" t="str">
        <f>IF(TableauBS[[#This Row],[Absenteisme]]=0,"",1)</f>
        <v/>
      </c>
      <c r="L50" s="10">
        <v>1</v>
      </c>
      <c r="M50" s="12" t="s">
        <v>130</v>
      </c>
      <c r="N50" s="146" t="s">
        <v>130</v>
      </c>
      <c r="O50" s="146"/>
      <c r="P50" s="150" t="str">
        <f t="shared" si="6"/>
        <v>Individu_57</v>
      </c>
      <c r="Q50" s="151">
        <f>($J$3-TableauBS[[#This Row],[D_Arrivée]])/365.25</f>
        <v>6.584531143052704</v>
      </c>
      <c r="R50" s="220">
        <f t="shared" si="7"/>
        <v>2</v>
      </c>
      <c r="S50" s="151">
        <f t="shared" si="8"/>
        <v>26.704996577686515</v>
      </c>
      <c r="T50" s="161">
        <f t="shared" si="9"/>
        <v>2</v>
      </c>
      <c r="U50" s="135" t="str">
        <f>VLOOKUP(TableauBS[[#This Row],[Categorie age ]],$W$6:$Z$10,3,FALSE)</f>
        <v>de 20 ans à 30ans</v>
      </c>
      <c r="V50" s="114"/>
      <c r="W50" s="114"/>
      <c r="X50" s="114"/>
      <c r="Y50" s="114"/>
      <c r="Z50" s="114"/>
      <c r="AA50" s="114"/>
      <c r="AB50" s="114"/>
      <c r="AJ50" s="109">
        <v>2</v>
      </c>
      <c r="AK50" s="110">
        <v>11</v>
      </c>
      <c r="AL50" s="110">
        <v>8</v>
      </c>
      <c r="AM50" s="110">
        <v>19</v>
      </c>
      <c r="AO50" s="1"/>
      <c r="AP50" s="50"/>
      <c r="AQ50" s="50"/>
    </row>
    <row r="51" spans="2:43" x14ac:dyDescent="0.15">
      <c r="B51" s="1"/>
      <c r="C51" s="49" t="s">
        <v>73</v>
      </c>
      <c r="D51" s="8" t="s">
        <v>8</v>
      </c>
      <c r="E51" s="52">
        <v>34165</v>
      </c>
      <c r="F51" s="55">
        <v>41974</v>
      </c>
      <c r="G51" s="54">
        <v>3</v>
      </c>
      <c r="H51" s="54" t="str">
        <f>VLOOKUP(TableauBS[[#This Row],[Statut]],$AE$23:$AF$26,2,FALSE)</f>
        <v>Cadre</v>
      </c>
      <c r="I51" s="38">
        <v>53110</v>
      </c>
      <c r="J51" s="8">
        <v>0</v>
      </c>
      <c r="K51" s="9" t="str">
        <f>IF(TableauBS[[#This Row],[Absenteisme]]=0,"",1)</f>
        <v/>
      </c>
      <c r="L51" s="10">
        <v>1</v>
      </c>
      <c r="M51" s="12" t="s">
        <v>130</v>
      </c>
      <c r="N51" s="146" t="s">
        <v>130</v>
      </c>
      <c r="O51" s="146"/>
      <c r="P51" s="150" t="str">
        <f t="shared" si="6"/>
        <v>Individu_61</v>
      </c>
      <c r="Q51" s="151">
        <f>($J$3-TableauBS[[#This Row],[D_Arrivée]])/365.25</f>
        <v>7.0828199863107457</v>
      </c>
      <c r="R51" s="220">
        <f t="shared" si="7"/>
        <v>2</v>
      </c>
      <c r="S51" s="151">
        <f t="shared" si="8"/>
        <v>28.462696783025326</v>
      </c>
      <c r="T51" s="161">
        <f t="shared" si="9"/>
        <v>2</v>
      </c>
      <c r="U51" s="135" t="str">
        <f>VLOOKUP(TableauBS[[#This Row],[Categorie age ]],$W$6:$Z$10,3,FALSE)</f>
        <v>de 20 ans à 30ans</v>
      </c>
      <c r="V51" s="114"/>
      <c r="W51" s="114"/>
      <c r="X51" s="114"/>
      <c r="Y51" s="114"/>
      <c r="Z51" s="114"/>
      <c r="AA51" s="114"/>
      <c r="AB51" s="114"/>
      <c r="AJ51" s="109">
        <v>3</v>
      </c>
      <c r="AK51" s="110">
        <v>4</v>
      </c>
      <c r="AL51" s="110">
        <v>9</v>
      </c>
      <c r="AM51" s="110">
        <v>13</v>
      </c>
      <c r="AO51" s="1"/>
      <c r="AP51" s="50"/>
      <c r="AQ51" s="50"/>
    </row>
    <row r="52" spans="2:43" x14ac:dyDescent="0.15">
      <c r="B52" s="1"/>
      <c r="C52" s="49" t="s">
        <v>74</v>
      </c>
      <c r="D52" s="8" t="s">
        <v>9</v>
      </c>
      <c r="E52" s="52">
        <v>35990</v>
      </c>
      <c r="F52" s="55">
        <v>43282</v>
      </c>
      <c r="G52" s="54">
        <v>3</v>
      </c>
      <c r="H52" s="54" t="str">
        <f>VLOOKUP(TableauBS[[#This Row],[Statut]],$AE$23:$AF$26,2,FALSE)</f>
        <v>Cadre</v>
      </c>
      <c r="I52" s="38">
        <v>59173</v>
      </c>
      <c r="J52" s="8">
        <v>1</v>
      </c>
      <c r="K52" s="9">
        <f>IF(TableauBS[[#This Row],[Absenteisme]]=0,"",1)</f>
        <v>1</v>
      </c>
      <c r="L52" s="10">
        <v>1</v>
      </c>
      <c r="M52" s="12" t="s">
        <v>130</v>
      </c>
      <c r="N52" s="146" t="s">
        <v>130</v>
      </c>
      <c r="O52" s="146"/>
      <c r="P52" s="150" t="str">
        <f t="shared" si="6"/>
        <v>Individu_62</v>
      </c>
      <c r="Q52" s="151">
        <f>($J$3-TableauBS[[#This Row],[D_Arrivée]])/365.25</f>
        <v>3.5017111567419574</v>
      </c>
      <c r="R52" s="220">
        <f t="shared" si="7"/>
        <v>1</v>
      </c>
      <c r="S52" s="151">
        <f t="shared" si="8"/>
        <v>23.466119096509239</v>
      </c>
      <c r="T52" s="161">
        <f t="shared" si="9"/>
        <v>2</v>
      </c>
      <c r="U52" s="135" t="str">
        <f>VLOOKUP(TableauBS[[#This Row],[Categorie age ]],$W$6:$Z$10,3,FALSE)</f>
        <v>de 20 ans à 30ans</v>
      </c>
      <c r="V52" s="114"/>
      <c r="W52" s="114"/>
      <c r="X52" s="114"/>
      <c r="Y52" s="114"/>
      <c r="Z52" s="114"/>
      <c r="AA52" s="114"/>
      <c r="AB52" s="114"/>
      <c r="AJ52" s="109">
        <v>4</v>
      </c>
      <c r="AK52" s="110">
        <v>1</v>
      </c>
      <c r="AL52" s="110">
        <v>3</v>
      </c>
      <c r="AM52" s="110">
        <v>4</v>
      </c>
      <c r="AO52" s="1"/>
      <c r="AP52" s="50"/>
      <c r="AQ52" s="50"/>
    </row>
    <row r="53" spans="2:43" x14ac:dyDescent="0.15">
      <c r="B53" s="1"/>
      <c r="C53" s="49" t="s">
        <v>75</v>
      </c>
      <c r="D53" s="8" t="s">
        <v>8</v>
      </c>
      <c r="E53" s="52">
        <v>30364</v>
      </c>
      <c r="F53" s="55">
        <v>39052</v>
      </c>
      <c r="G53" s="54">
        <v>2</v>
      </c>
      <c r="H53" s="54" t="str">
        <f>VLOOKUP(TableauBS[[#This Row],[Statut]],$AE$23:$AF$26,2,FALSE)</f>
        <v>Employé</v>
      </c>
      <c r="I53" s="38">
        <v>27529</v>
      </c>
      <c r="J53" s="8">
        <v>0</v>
      </c>
      <c r="K53" s="9" t="str">
        <f>IF(TableauBS[[#This Row],[Absenteisme]]=0,"",1)</f>
        <v/>
      </c>
      <c r="L53" s="10">
        <v>0.8</v>
      </c>
      <c r="M53" s="12" t="s">
        <v>130</v>
      </c>
      <c r="N53" s="146" t="s">
        <v>130</v>
      </c>
      <c r="O53" s="146"/>
      <c r="P53" s="150" t="str">
        <f t="shared" si="6"/>
        <v>Individu_63</v>
      </c>
      <c r="Q53" s="151">
        <f>($J$3-TableauBS[[#This Row],[D_Arrivée]])/365.25</f>
        <v>15.082819986310746</v>
      </c>
      <c r="R53" s="220">
        <f t="shared" si="7"/>
        <v>3</v>
      </c>
      <c r="S53" s="151">
        <f t="shared" si="8"/>
        <v>38.869267624914443</v>
      </c>
      <c r="T53" s="161">
        <f t="shared" si="9"/>
        <v>3</v>
      </c>
      <c r="U53" s="164" t="str">
        <f>VLOOKUP(TableauBS[[#This Row],[Categorie age ]],$W$6:$Z$10,3,FALSE)</f>
        <v>de 30 ans à 45ans</v>
      </c>
      <c r="W53" s="114"/>
      <c r="X53" s="114"/>
      <c r="Y53" s="114"/>
      <c r="Z53" s="114"/>
      <c r="AA53" s="112"/>
      <c r="AB53" s="112"/>
      <c r="AJ53" s="109" t="s">
        <v>177</v>
      </c>
      <c r="AK53" s="110">
        <v>29</v>
      </c>
      <c r="AL53" s="110">
        <v>35</v>
      </c>
      <c r="AM53" s="110">
        <v>64</v>
      </c>
      <c r="AO53" s="1"/>
      <c r="AP53" s="50"/>
      <c r="AQ53" s="50"/>
    </row>
    <row r="54" spans="2:43" x14ac:dyDescent="0.15">
      <c r="B54" s="1"/>
      <c r="C54" s="49" t="s">
        <v>76</v>
      </c>
      <c r="D54" s="8" t="s">
        <v>8</v>
      </c>
      <c r="E54" s="52">
        <v>26990</v>
      </c>
      <c r="F54" s="55">
        <v>37257</v>
      </c>
      <c r="G54" s="54">
        <v>3</v>
      </c>
      <c r="H54" s="54" t="str">
        <f>VLOOKUP(TableauBS[[#This Row],[Statut]],$AE$23:$AF$26,2,FALSE)</f>
        <v>Cadre</v>
      </c>
      <c r="I54" s="38">
        <v>35644</v>
      </c>
      <c r="J54" s="8">
        <v>12</v>
      </c>
      <c r="K54" s="9">
        <f>IF(TableauBS[[#This Row],[Absenteisme]]=0,"",1)</f>
        <v>1</v>
      </c>
      <c r="L54" s="10">
        <v>1</v>
      </c>
      <c r="M54" s="12" t="s">
        <v>130</v>
      </c>
      <c r="N54" s="146" t="s">
        <v>130</v>
      </c>
      <c r="O54" s="146"/>
      <c r="P54" s="150" t="str">
        <f t="shared" si="6"/>
        <v>Individu_64</v>
      </c>
      <c r="Q54" s="151">
        <f>($J$3-TableauBS[[#This Row],[D_Arrivée]])/365.25</f>
        <v>19.997262149212869</v>
      </c>
      <c r="R54" s="220">
        <f t="shared" si="7"/>
        <v>3</v>
      </c>
      <c r="S54" s="151">
        <f t="shared" si="8"/>
        <v>48.106776180698155</v>
      </c>
      <c r="T54" s="161">
        <f t="shared" si="9"/>
        <v>4</v>
      </c>
      <c r="U54" s="164" t="str">
        <f>VLOOKUP(TableauBS[[#This Row],[Categorie age ]],$W$6:$Z$10,3,FALSE)</f>
        <v>de 45 ans à 50ans</v>
      </c>
      <c r="Y54" s="112"/>
      <c r="Z54" s="112"/>
      <c r="AA54" s="112"/>
      <c r="AB54" s="112"/>
      <c r="AO54" s="1"/>
      <c r="AP54" s="50"/>
      <c r="AQ54" s="50"/>
    </row>
    <row r="55" spans="2:43" x14ac:dyDescent="0.15">
      <c r="B55" s="1"/>
      <c r="C55" s="49" t="s">
        <v>77</v>
      </c>
      <c r="D55" s="8" t="s">
        <v>9</v>
      </c>
      <c r="E55" s="52">
        <v>33567</v>
      </c>
      <c r="F55" s="55">
        <v>43466</v>
      </c>
      <c r="G55" s="54">
        <v>1</v>
      </c>
      <c r="H55" s="54" t="str">
        <f>VLOOKUP(TableauBS[[#This Row],[Statut]],$AE$23:$AF$26,2,FALSE)</f>
        <v>Ouvrier</v>
      </c>
      <c r="I55" s="38">
        <v>28605</v>
      </c>
      <c r="J55" s="8">
        <v>3</v>
      </c>
      <c r="K55" s="9">
        <f>IF(TableauBS[[#This Row],[Absenteisme]]=0,"",1)</f>
        <v>1</v>
      </c>
      <c r="L55" s="10">
        <v>1</v>
      </c>
      <c r="M55" s="12" t="s">
        <v>130</v>
      </c>
      <c r="N55" s="146" t="s">
        <v>130</v>
      </c>
      <c r="O55" s="146"/>
      <c r="P55" s="150" t="str">
        <f t="shared" si="6"/>
        <v>Individu_65</v>
      </c>
      <c r="Q55" s="151">
        <f>($J$3-TableauBS[[#This Row],[D_Arrivée]])/365.25</f>
        <v>2.9979466119096507</v>
      </c>
      <c r="R55" s="220">
        <f t="shared" si="7"/>
        <v>1</v>
      </c>
      <c r="S55" s="151">
        <f t="shared" si="8"/>
        <v>30.099931553730322</v>
      </c>
      <c r="T55" s="161">
        <f t="shared" si="9"/>
        <v>3</v>
      </c>
      <c r="U55" s="164" t="str">
        <f>VLOOKUP(TableauBS[[#This Row],[Categorie age ]],$W$6:$Z$10,3,FALSE)</f>
        <v>de 30 ans à 45ans</v>
      </c>
      <c r="Y55" s="112"/>
      <c r="Z55" s="112"/>
      <c r="AA55" s="112"/>
      <c r="AB55" s="112"/>
      <c r="AJ55" s="1"/>
      <c r="AK55" s="1"/>
      <c r="AO55" s="1"/>
      <c r="AP55" s="50"/>
      <c r="AQ55" s="50"/>
    </row>
    <row r="56" spans="2:43" x14ac:dyDescent="0.15">
      <c r="B56" s="1"/>
      <c r="C56" s="49" t="s">
        <v>78</v>
      </c>
      <c r="D56" s="8" t="s">
        <v>9</v>
      </c>
      <c r="E56" s="52">
        <v>23954</v>
      </c>
      <c r="F56" s="55">
        <v>32690</v>
      </c>
      <c r="G56" s="54">
        <v>3</v>
      </c>
      <c r="H56" s="54" t="str">
        <f>VLOOKUP(TableauBS[[#This Row],[Statut]],$AE$23:$AF$26,2,FALSE)</f>
        <v>Cadre</v>
      </c>
      <c r="I56" s="38">
        <v>36555</v>
      </c>
      <c r="J56" s="8">
        <v>0</v>
      </c>
      <c r="K56" s="9" t="str">
        <f>IF(TableauBS[[#This Row],[Absenteisme]]=0,"",1)</f>
        <v/>
      </c>
      <c r="L56" s="10">
        <v>1</v>
      </c>
      <c r="M56" s="12" t="s">
        <v>130</v>
      </c>
      <c r="N56" s="146" t="s">
        <v>130</v>
      </c>
      <c r="O56" s="146"/>
      <c r="P56" s="150" t="str">
        <f t="shared" si="6"/>
        <v>Individu_66</v>
      </c>
      <c r="Q56" s="151">
        <f>($J$3-TableauBS[[#This Row],[D_Arrivée]])/365.25</f>
        <v>32.501026694045173</v>
      </c>
      <c r="R56" s="220">
        <f t="shared" si="7"/>
        <v>5</v>
      </c>
      <c r="S56" s="151">
        <f t="shared" si="8"/>
        <v>56.418891170431209</v>
      </c>
      <c r="T56" s="161">
        <f t="shared" si="9"/>
        <v>5</v>
      </c>
      <c r="U56" s="164" t="str">
        <f>VLOOKUP(TableauBS[[#This Row],[Categorie age ]],$W$6:$Z$10,3,FALSE)</f>
        <v xml:space="preserve">superieur à 50 ans </v>
      </c>
      <c r="Y56" s="112"/>
      <c r="Z56" s="112"/>
      <c r="AA56" s="112"/>
      <c r="AB56" s="112"/>
      <c r="AJ56" s="1"/>
      <c r="AK56" s="1"/>
      <c r="AO56" s="1"/>
      <c r="AP56" s="50"/>
      <c r="AQ56" s="50"/>
    </row>
    <row r="57" spans="2:43" x14ac:dyDescent="0.15">
      <c r="B57" s="1"/>
      <c r="C57" s="49" t="s">
        <v>79</v>
      </c>
      <c r="D57" s="8" t="s">
        <v>8</v>
      </c>
      <c r="E57" s="52">
        <v>29830</v>
      </c>
      <c r="F57" s="55">
        <v>43313</v>
      </c>
      <c r="G57" s="54">
        <v>2</v>
      </c>
      <c r="H57" s="54" t="str">
        <f>VLOOKUP(TableauBS[[#This Row],[Statut]],$AE$23:$AF$26,2,FALSE)</f>
        <v>Employé</v>
      </c>
      <c r="I57" s="38">
        <v>19864</v>
      </c>
      <c r="J57" s="8">
        <v>26</v>
      </c>
      <c r="K57" s="9">
        <f>IF(TableauBS[[#This Row],[Absenteisme]]=0,"",1)</f>
        <v>1</v>
      </c>
      <c r="L57" s="10">
        <v>0.6</v>
      </c>
      <c r="M57" s="12" t="s">
        <v>130</v>
      </c>
      <c r="N57" s="146" t="s">
        <v>130</v>
      </c>
      <c r="O57" s="146"/>
      <c r="P57" s="150" t="str">
        <f t="shared" si="6"/>
        <v>Individu_67</v>
      </c>
      <c r="Q57" s="151">
        <f>($J$3-TableauBS[[#This Row],[D_Arrivée]])/365.25</f>
        <v>3.4168377823408624</v>
      </c>
      <c r="R57" s="220">
        <f t="shared" si="7"/>
        <v>1</v>
      </c>
      <c r="S57" s="151">
        <f t="shared" si="8"/>
        <v>40.331279945242983</v>
      </c>
      <c r="T57" s="161">
        <f t="shared" si="9"/>
        <v>3</v>
      </c>
      <c r="U57" s="135" t="str">
        <f>VLOOKUP(TableauBS[[#This Row],[Categorie age ]],$W$6:$Z$10,3,FALSE)</f>
        <v>de 30 ans à 45ans</v>
      </c>
      <c r="V57" s="114"/>
      <c r="Y57" s="112"/>
      <c r="Z57" s="112"/>
      <c r="AA57" s="114"/>
      <c r="AB57" s="114"/>
      <c r="AJ57" s="1"/>
      <c r="AK57" s="1"/>
      <c r="AO57" s="1"/>
      <c r="AP57" s="50"/>
      <c r="AQ57" s="50"/>
    </row>
    <row r="58" spans="2:43" x14ac:dyDescent="0.15">
      <c r="B58" s="1"/>
      <c r="C58" s="49" t="s">
        <v>80</v>
      </c>
      <c r="D58" s="8" t="s">
        <v>9</v>
      </c>
      <c r="E58" s="52">
        <v>29062</v>
      </c>
      <c r="F58" s="55">
        <v>40360</v>
      </c>
      <c r="G58" s="54">
        <v>1</v>
      </c>
      <c r="H58" s="54" t="str">
        <f>VLOOKUP(TableauBS[[#This Row],[Statut]],$AE$23:$AF$26,2,FALSE)</f>
        <v>Ouvrier</v>
      </c>
      <c r="I58" s="38">
        <v>27914</v>
      </c>
      <c r="J58" s="8">
        <v>0</v>
      </c>
      <c r="K58" s="9" t="str">
        <f>IF(TableauBS[[#This Row],[Absenteisme]]=0,"",1)</f>
        <v/>
      </c>
      <c r="L58" s="10">
        <v>1</v>
      </c>
      <c r="M58" s="12" t="s">
        <v>130</v>
      </c>
      <c r="N58" s="146" t="s">
        <v>130</v>
      </c>
      <c r="O58" s="146"/>
      <c r="P58" s="150" t="str">
        <f t="shared" si="6"/>
        <v>Individu_68</v>
      </c>
      <c r="Q58" s="151">
        <f>($J$3-TableauBS[[#This Row],[D_Arrivée]])/365.25</f>
        <v>11.501711156741958</v>
      </c>
      <c r="R58" s="220">
        <f t="shared" si="7"/>
        <v>3</v>
      </c>
      <c r="S58" s="151">
        <f t="shared" si="8"/>
        <v>42.433949349760439</v>
      </c>
      <c r="T58" s="161">
        <f t="shared" si="9"/>
        <v>3</v>
      </c>
      <c r="U58" s="135" t="str">
        <f>VLOOKUP(TableauBS[[#This Row],[Categorie age ]],$W$6:$Z$10,3,FALSE)</f>
        <v>de 30 ans à 45ans</v>
      </c>
      <c r="V58" s="114"/>
      <c r="W58" s="114"/>
      <c r="X58" s="114"/>
      <c r="Y58" s="114"/>
      <c r="Z58" s="114"/>
      <c r="AA58" s="114"/>
      <c r="AB58" s="114"/>
      <c r="AJ58" s="1"/>
      <c r="AK58" s="1"/>
      <c r="AO58" s="1"/>
      <c r="AP58" s="50"/>
      <c r="AQ58" s="50"/>
    </row>
    <row r="59" spans="2:43" x14ac:dyDescent="0.15">
      <c r="B59" s="1"/>
      <c r="C59" s="49" t="s">
        <v>81</v>
      </c>
      <c r="D59" s="8" t="s">
        <v>8</v>
      </c>
      <c r="E59" s="52">
        <v>24637</v>
      </c>
      <c r="F59" s="55">
        <v>34669</v>
      </c>
      <c r="G59" s="54">
        <v>1</v>
      </c>
      <c r="H59" s="54" t="str">
        <f>VLOOKUP(TableauBS[[#This Row],[Statut]],$AE$23:$AF$26,2,FALSE)</f>
        <v>Ouvrier</v>
      </c>
      <c r="I59" s="38">
        <v>29146</v>
      </c>
      <c r="J59" s="8">
        <v>3</v>
      </c>
      <c r="K59" s="9">
        <f>IF(TableauBS[[#This Row],[Absenteisme]]=0,"",1)</f>
        <v>1</v>
      </c>
      <c r="L59" s="10">
        <v>0.8</v>
      </c>
      <c r="M59" s="12" t="s">
        <v>130</v>
      </c>
      <c r="N59" s="146" t="s">
        <v>130</v>
      </c>
      <c r="O59" s="146"/>
      <c r="P59" s="150" t="str">
        <f t="shared" si="6"/>
        <v>Individu_69</v>
      </c>
      <c r="Q59" s="151">
        <f>($J$3-TableauBS[[#This Row],[D_Arrivée]])/365.25</f>
        <v>27.082819986310746</v>
      </c>
      <c r="R59" s="220">
        <f t="shared" si="7"/>
        <v>4</v>
      </c>
      <c r="S59" s="151">
        <f t="shared" si="8"/>
        <v>54.548939082819984</v>
      </c>
      <c r="T59" s="161">
        <f t="shared" si="9"/>
        <v>5</v>
      </c>
      <c r="U59" s="135" t="str">
        <f>VLOOKUP(TableauBS[[#This Row],[Categorie age ]],$W$6:$Z$10,3,FALSE)</f>
        <v xml:space="preserve">superieur à 50 ans </v>
      </c>
      <c r="V59" s="114"/>
      <c r="W59" s="114"/>
      <c r="X59" s="114"/>
      <c r="Y59" s="114"/>
      <c r="Z59" s="114"/>
      <c r="AA59" s="114"/>
      <c r="AB59" s="114"/>
      <c r="AJ59" s="1"/>
      <c r="AK59" s="1"/>
      <c r="AO59" s="1"/>
      <c r="AP59" s="50"/>
      <c r="AQ59" s="50"/>
    </row>
    <row r="60" spans="2:43" x14ac:dyDescent="0.15">
      <c r="B60" s="1"/>
      <c r="C60" s="49" t="s">
        <v>82</v>
      </c>
      <c r="D60" s="8" t="s">
        <v>8</v>
      </c>
      <c r="E60" s="52">
        <v>35300</v>
      </c>
      <c r="F60" s="55">
        <v>44440</v>
      </c>
      <c r="G60" s="54">
        <v>3</v>
      </c>
      <c r="H60" s="54" t="str">
        <f>VLOOKUP(TableauBS[[#This Row],[Statut]],$AE$23:$AF$26,2,FALSE)</f>
        <v>Cadre</v>
      </c>
      <c r="I60" s="38">
        <v>55420</v>
      </c>
      <c r="J60" s="8">
        <v>0</v>
      </c>
      <c r="K60" s="9" t="str">
        <f>IF(TableauBS[[#This Row],[Absenteisme]]=0,"",1)</f>
        <v/>
      </c>
      <c r="L60" s="10">
        <v>1</v>
      </c>
      <c r="M60" s="12" t="s">
        <v>130</v>
      </c>
      <c r="N60" s="146" t="s">
        <v>130</v>
      </c>
      <c r="O60" s="146"/>
      <c r="P60" s="150" t="str">
        <f t="shared" si="6"/>
        <v>Individu_70</v>
      </c>
      <c r="Q60" s="151">
        <f>($J$3-TableauBS[[#This Row],[D_Arrivée]])/365.25</f>
        <v>0.33127994524298426</v>
      </c>
      <c r="R60" s="220">
        <f t="shared" si="7"/>
        <v>1</v>
      </c>
      <c r="S60" s="151">
        <f t="shared" si="8"/>
        <v>25.355236139630389</v>
      </c>
      <c r="T60" s="161">
        <f t="shared" si="9"/>
        <v>2</v>
      </c>
      <c r="U60" s="135" t="str">
        <f>VLOOKUP(TableauBS[[#This Row],[Categorie age ]],$W$6:$Z$10,3,FALSE)</f>
        <v>de 20 ans à 30ans</v>
      </c>
      <c r="V60" s="114"/>
      <c r="W60" s="114"/>
      <c r="X60" s="114"/>
      <c r="Y60" s="114"/>
      <c r="Z60" s="114"/>
      <c r="AA60" s="114"/>
      <c r="AB60" s="114"/>
      <c r="AJ60" s="1"/>
      <c r="AK60" s="1"/>
      <c r="AO60" s="1"/>
      <c r="AP60" s="50"/>
      <c r="AQ60" s="50"/>
    </row>
    <row r="61" spans="2:43" x14ac:dyDescent="0.15">
      <c r="B61" s="1"/>
      <c r="C61" s="49" t="s">
        <v>83</v>
      </c>
      <c r="D61" s="8" t="s">
        <v>8</v>
      </c>
      <c r="E61" s="52">
        <v>24118</v>
      </c>
      <c r="F61" s="55">
        <v>33178</v>
      </c>
      <c r="G61" s="54">
        <v>1</v>
      </c>
      <c r="H61" s="54" t="str">
        <f>VLOOKUP(TableauBS[[#This Row],[Statut]],$AE$23:$AF$26,2,FALSE)</f>
        <v>Ouvrier</v>
      </c>
      <c r="I61" s="38">
        <v>33306</v>
      </c>
      <c r="J61" s="8">
        <v>1</v>
      </c>
      <c r="K61" s="9">
        <f>IF(TableauBS[[#This Row],[Absenteisme]]=0,"",1)</f>
        <v>1</v>
      </c>
      <c r="L61" s="10">
        <v>1</v>
      </c>
      <c r="M61" s="12" t="s">
        <v>130</v>
      </c>
      <c r="N61" s="146" t="s">
        <v>130</v>
      </c>
      <c r="O61" s="146"/>
      <c r="P61" s="150" t="str">
        <f t="shared" si="6"/>
        <v>Individu_71</v>
      </c>
      <c r="Q61" s="151">
        <f>($J$3-TableauBS[[#This Row],[D_Arrivée]])/365.25</f>
        <v>31.16495550992471</v>
      </c>
      <c r="R61" s="220">
        <f t="shared" si="7"/>
        <v>5</v>
      </c>
      <c r="S61" s="151">
        <f t="shared" si="8"/>
        <v>55.969883641341546</v>
      </c>
      <c r="T61" s="161">
        <f t="shared" si="9"/>
        <v>5</v>
      </c>
      <c r="U61" s="135" t="str">
        <f>VLOOKUP(TableauBS[[#This Row],[Categorie age ]],$W$6:$Z$10,3,FALSE)</f>
        <v xml:space="preserve">superieur à 50 ans </v>
      </c>
      <c r="V61" s="114"/>
      <c r="W61" s="114"/>
      <c r="X61" s="114"/>
      <c r="Y61" s="114"/>
      <c r="Z61" s="114"/>
      <c r="AA61" s="114"/>
      <c r="AB61" s="114"/>
      <c r="AJ61" s="1"/>
      <c r="AK61" s="1"/>
      <c r="AO61" s="1"/>
      <c r="AP61" s="50"/>
      <c r="AQ61" s="50"/>
    </row>
    <row r="62" spans="2:43" x14ac:dyDescent="0.15">
      <c r="B62" s="1"/>
      <c r="C62" s="49" t="s">
        <v>84</v>
      </c>
      <c r="D62" s="8" t="s">
        <v>9</v>
      </c>
      <c r="E62" s="52">
        <v>31558</v>
      </c>
      <c r="F62" s="55">
        <v>41579</v>
      </c>
      <c r="G62" s="54">
        <v>3</v>
      </c>
      <c r="H62" s="54" t="str">
        <f>VLOOKUP(TableauBS[[#This Row],[Statut]],$AE$23:$AF$26,2,FALSE)</f>
        <v>Cadre</v>
      </c>
      <c r="I62" s="38">
        <v>52441</v>
      </c>
      <c r="J62" s="8">
        <v>0</v>
      </c>
      <c r="K62" s="9" t="str">
        <f>IF(TableauBS[[#This Row],[Absenteisme]]=0,"",1)</f>
        <v/>
      </c>
      <c r="L62" s="10">
        <v>1</v>
      </c>
      <c r="M62" s="12" t="s">
        <v>130</v>
      </c>
      <c r="N62" s="146" t="s">
        <v>130</v>
      </c>
      <c r="O62" s="146"/>
      <c r="P62" s="150" t="str">
        <f t="shared" si="6"/>
        <v>Individu_72</v>
      </c>
      <c r="Q62" s="151">
        <f>($J$3-TableauBS[[#This Row],[D_Arrivée]])/365.25</f>
        <v>8.1642710472279258</v>
      </c>
      <c r="R62" s="220">
        <f t="shared" si="7"/>
        <v>2</v>
      </c>
      <c r="S62" s="151">
        <f t="shared" si="8"/>
        <v>35.600273785078713</v>
      </c>
      <c r="T62" s="161">
        <f t="shared" si="9"/>
        <v>3</v>
      </c>
      <c r="U62" s="135" t="str">
        <f>VLOOKUP(TableauBS[[#This Row],[Categorie age ]],$W$6:$Z$10,3,FALSE)</f>
        <v>de 30 ans à 45ans</v>
      </c>
      <c r="V62" s="114"/>
      <c r="W62" s="114"/>
      <c r="X62" s="114"/>
      <c r="Y62" s="114"/>
      <c r="Z62" s="114"/>
      <c r="AA62" s="114"/>
      <c r="AB62" s="114"/>
      <c r="AJ62" s="1"/>
      <c r="AK62" s="1"/>
      <c r="AO62" s="1"/>
      <c r="AP62" s="50"/>
      <c r="AQ62" s="50"/>
    </row>
    <row r="63" spans="2:43" x14ac:dyDescent="0.15">
      <c r="B63" s="1"/>
      <c r="C63" s="49" t="s">
        <v>85</v>
      </c>
      <c r="D63" s="8" t="s">
        <v>8</v>
      </c>
      <c r="E63" s="52">
        <v>32161</v>
      </c>
      <c r="F63" s="55">
        <v>41699</v>
      </c>
      <c r="G63" s="54">
        <v>4</v>
      </c>
      <c r="H63" s="54" t="str">
        <f>VLOOKUP(TableauBS[[#This Row],[Statut]],$AE$23:$AF$26,2,FALSE)</f>
        <v>Directeur</v>
      </c>
      <c r="I63" s="38">
        <v>153446</v>
      </c>
      <c r="J63" s="8">
        <v>0</v>
      </c>
      <c r="K63" s="9" t="str">
        <f>IF(TableauBS[[#This Row],[Absenteisme]]=0,"",1)</f>
        <v/>
      </c>
      <c r="L63" s="10">
        <v>1</v>
      </c>
      <c r="M63" s="12" t="s">
        <v>130</v>
      </c>
      <c r="N63" s="146" t="s">
        <v>130</v>
      </c>
      <c r="O63" s="146"/>
      <c r="P63" s="150" t="str">
        <f t="shared" si="6"/>
        <v>Individu_73</v>
      </c>
      <c r="Q63" s="151">
        <f>($J$3-TableauBS[[#This Row],[D_Arrivée]])/365.25</f>
        <v>7.8357289527720742</v>
      </c>
      <c r="R63" s="220">
        <f t="shared" si="7"/>
        <v>2</v>
      </c>
      <c r="S63" s="151">
        <f t="shared" si="8"/>
        <v>33.949349760438054</v>
      </c>
      <c r="T63" s="161">
        <f t="shared" si="9"/>
        <v>3</v>
      </c>
      <c r="U63" s="135" t="str">
        <f>VLOOKUP(TableauBS[[#This Row],[Categorie age ]],$W$6:$Z$10,3,FALSE)</f>
        <v>de 30 ans à 45ans</v>
      </c>
      <c r="V63" s="114"/>
      <c r="W63" s="114"/>
      <c r="X63" s="114"/>
      <c r="Y63" s="114"/>
      <c r="Z63" s="114"/>
      <c r="AA63" s="114"/>
      <c r="AB63" s="114"/>
      <c r="AJ63" s="1"/>
      <c r="AK63" s="1"/>
      <c r="AO63" s="1"/>
      <c r="AP63" s="50"/>
      <c r="AQ63" s="50"/>
    </row>
    <row r="64" spans="2:43" x14ac:dyDescent="0.15">
      <c r="B64" s="1"/>
      <c r="C64" s="49" t="s">
        <v>86</v>
      </c>
      <c r="D64" s="8" t="s">
        <v>9</v>
      </c>
      <c r="E64" s="52">
        <v>24080</v>
      </c>
      <c r="F64" s="55">
        <v>30348</v>
      </c>
      <c r="G64" s="54">
        <v>1</v>
      </c>
      <c r="H64" s="54" t="str">
        <f>VLOOKUP(TableauBS[[#This Row],[Statut]],$AE$23:$AF$26,2,FALSE)</f>
        <v>Ouvrier</v>
      </c>
      <c r="I64" s="38">
        <v>32704</v>
      </c>
      <c r="J64" s="8">
        <v>0</v>
      </c>
      <c r="K64" s="9" t="str">
        <f>IF(TableauBS[[#This Row],[Absenteisme]]=0,"",1)</f>
        <v/>
      </c>
      <c r="L64" s="10">
        <v>1</v>
      </c>
      <c r="M64" s="12" t="s">
        <v>130</v>
      </c>
      <c r="N64" s="146" t="s">
        <v>130</v>
      </c>
      <c r="O64" s="146"/>
      <c r="P64" s="150" t="str">
        <f t="shared" si="6"/>
        <v>Individu_74</v>
      </c>
      <c r="Q64" s="151">
        <f>($J$3-TableauBS[[#This Row],[D_Arrivée]])/365.25</f>
        <v>38.913073237508556</v>
      </c>
      <c r="R64" s="220">
        <f t="shared" si="7"/>
        <v>5</v>
      </c>
      <c r="S64" s="151">
        <f t="shared" si="8"/>
        <v>56.073921971252567</v>
      </c>
      <c r="T64" s="161">
        <f t="shared" si="9"/>
        <v>5</v>
      </c>
      <c r="U64" s="135" t="str">
        <f>VLOOKUP(TableauBS[[#This Row],[Categorie age ]],$W$6:$Z$10,3,FALSE)</f>
        <v xml:space="preserve">superieur à 50 ans </v>
      </c>
      <c r="V64" s="114"/>
      <c r="W64" s="114"/>
      <c r="X64" s="114"/>
      <c r="Y64" s="114"/>
      <c r="Z64" s="114"/>
      <c r="AA64" s="114"/>
      <c r="AB64" s="114"/>
      <c r="AJ64" s="1"/>
      <c r="AK64" s="1"/>
      <c r="AO64" s="1"/>
      <c r="AP64" s="50"/>
      <c r="AQ64" s="50"/>
    </row>
    <row r="65" spans="2:43" x14ac:dyDescent="0.15">
      <c r="B65" s="1"/>
      <c r="C65" s="49" t="s">
        <v>87</v>
      </c>
      <c r="D65" s="8" t="s">
        <v>9</v>
      </c>
      <c r="E65" s="52">
        <v>28834</v>
      </c>
      <c r="F65" s="55">
        <v>37561</v>
      </c>
      <c r="G65" s="54">
        <v>2</v>
      </c>
      <c r="H65" s="54" t="str">
        <f>VLOOKUP(TableauBS[[#This Row],[Statut]],$AE$23:$AF$26,2,FALSE)</f>
        <v>Employé</v>
      </c>
      <c r="I65" s="38">
        <v>28774</v>
      </c>
      <c r="J65" s="8">
        <v>0</v>
      </c>
      <c r="K65" s="9" t="str">
        <f>IF(TableauBS[[#This Row],[Absenteisme]]=0,"",1)</f>
        <v/>
      </c>
      <c r="L65" s="10">
        <v>1</v>
      </c>
      <c r="M65" s="12" t="s">
        <v>130</v>
      </c>
      <c r="N65" s="146" t="s">
        <v>130</v>
      </c>
      <c r="O65" s="146"/>
      <c r="P65" s="150" t="str">
        <f t="shared" si="6"/>
        <v>Individu_75</v>
      </c>
      <c r="Q65" s="151">
        <f>($J$3-TableauBS[[#This Row],[D_Arrivée]])/365.25</f>
        <v>19.16495550992471</v>
      </c>
      <c r="R65" s="220">
        <f t="shared" si="7"/>
        <v>3</v>
      </c>
      <c r="S65" s="151">
        <f t="shared" si="8"/>
        <v>43.058179329226554</v>
      </c>
      <c r="T65" s="161">
        <f t="shared" si="9"/>
        <v>3</v>
      </c>
      <c r="U65" s="135" t="str">
        <f>VLOOKUP(TableauBS[[#This Row],[Categorie age ]],$W$6:$Z$10,3,FALSE)</f>
        <v>de 30 ans à 45ans</v>
      </c>
      <c r="V65" s="114"/>
      <c r="W65" s="114"/>
      <c r="X65" s="114"/>
      <c r="Y65" s="114"/>
      <c r="Z65" s="114"/>
      <c r="AA65" s="114"/>
      <c r="AB65" s="114"/>
      <c r="AJ65" s="1"/>
      <c r="AK65" s="1"/>
      <c r="AO65" s="1"/>
      <c r="AP65" s="50"/>
      <c r="AQ65" s="50"/>
    </row>
    <row r="66" spans="2:43" x14ac:dyDescent="0.15">
      <c r="B66" s="1"/>
      <c r="C66" s="49" t="s">
        <v>88</v>
      </c>
      <c r="D66" s="8" t="s">
        <v>9</v>
      </c>
      <c r="E66" s="52">
        <v>31423</v>
      </c>
      <c r="F66" s="55">
        <v>38626</v>
      </c>
      <c r="G66" s="54">
        <v>2</v>
      </c>
      <c r="H66" s="54" t="str">
        <f>VLOOKUP(TableauBS[[#This Row],[Statut]],$AE$23:$AF$26,2,FALSE)</f>
        <v>Employé</v>
      </c>
      <c r="I66" s="38">
        <v>23432</v>
      </c>
      <c r="J66" s="8">
        <v>4</v>
      </c>
      <c r="K66" s="9">
        <f>IF(TableauBS[[#This Row],[Absenteisme]]=0,"",1)</f>
        <v>1</v>
      </c>
      <c r="L66" s="10">
        <v>0.7</v>
      </c>
      <c r="M66" s="12" t="s">
        <v>130</v>
      </c>
      <c r="N66" s="146" t="s">
        <v>130</v>
      </c>
      <c r="O66" s="146"/>
      <c r="P66" s="150" t="str">
        <f t="shared" si="6"/>
        <v>Individu_76</v>
      </c>
      <c r="Q66" s="151">
        <f>($J$3-TableauBS[[#This Row],[D_Arrivée]])/365.25</f>
        <v>16.249144421629023</v>
      </c>
      <c r="R66" s="220">
        <f t="shared" si="7"/>
        <v>3</v>
      </c>
      <c r="S66" s="151">
        <f t="shared" si="8"/>
        <v>35.969883641341546</v>
      </c>
      <c r="T66" s="161">
        <f t="shared" si="9"/>
        <v>3</v>
      </c>
      <c r="U66" s="135" t="str">
        <f>VLOOKUP(TableauBS[[#This Row],[Categorie age ]],$W$6:$Z$10,3,FALSE)</f>
        <v>de 30 ans à 45ans</v>
      </c>
      <c r="V66" s="114"/>
      <c r="W66" s="114"/>
      <c r="X66" s="114"/>
      <c r="Y66" s="114"/>
      <c r="Z66" s="114"/>
      <c r="AA66" s="114"/>
      <c r="AB66" s="114"/>
      <c r="AJ66" s="1"/>
      <c r="AK66" s="1"/>
      <c r="AO66" s="1"/>
      <c r="AP66" s="50"/>
      <c r="AQ66" s="50"/>
    </row>
    <row r="67" spans="2:43" x14ac:dyDescent="0.15">
      <c r="B67" s="1"/>
      <c r="C67" s="49" t="s">
        <v>90</v>
      </c>
      <c r="D67" s="8" t="s">
        <v>8</v>
      </c>
      <c r="E67" s="52">
        <v>29591</v>
      </c>
      <c r="F67" s="55">
        <v>44440</v>
      </c>
      <c r="G67" s="54">
        <v>2</v>
      </c>
      <c r="H67" s="54" t="str">
        <f>VLOOKUP(TableauBS[[#This Row],[Statut]],$AE$23:$AF$26,2,FALSE)</f>
        <v>Employé</v>
      </c>
      <c r="I67" s="38">
        <v>36340</v>
      </c>
      <c r="J67" s="8">
        <v>0</v>
      </c>
      <c r="K67" s="9" t="str">
        <f>IF(TableauBS[[#This Row],[Absenteisme]]=0,"",1)</f>
        <v/>
      </c>
      <c r="L67" s="10">
        <v>1</v>
      </c>
      <c r="M67" s="12" t="s">
        <v>130</v>
      </c>
      <c r="N67" s="146" t="s">
        <v>130</v>
      </c>
      <c r="O67" s="146"/>
      <c r="P67" s="150" t="str">
        <f t="shared" si="6"/>
        <v>Individu_78</v>
      </c>
      <c r="Q67" s="151">
        <f>($J$3-TableauBS[[#This Row],[D_Arrivée]])/365.25</f>
        <v>0.33127994524298426</v>
      </c>
      <c r="R67" s="220">
        <f t="shared" si="7"/>
        <v>1</v>
      </c>
      <c r="S67" s="151">
        <f t="shared" si="8"/>
        <v>40.985626283367559</v>
      </c>
      <c r="T67" s="161">
        <f t="shared" si="9"/>
        <v>3</v>
      </c>
      <c r="U67" s="135" t="str">
        <f>VLOOKUP(TableauBS[[#This Row],[Categorie age ]],$W$6:$Z$10,3,FALSE)</f>
        <v>de 30 ans à 45ans</v>
      </c>
      <c r="V67" s="114"/>
      <c r="W67" s="114"/>
      <c r="X67" s="114"/>
      <c r="Y67" s="114"/>
      <c r="Z67" s="114"/>
      <c r="AA67" s="114"/>
      <c r="AB67" s="114"/>
      <c r="AJ67" s="1"/>
      <c r="AK67" s="1"/>
      <c r="AO67" s="1"/>
      <c r="AP67" s="50"/>
      <c r="AQ67" s="50"/>
    </row>
    <row r="68" spans="2:43" x14ac:dyDescent="0.15">
      <c r="B68" s="1"/>
      <c r="C68" s="49" t="s">
        <v>91</v>
      </c>
      <c r="D68" s="8" t="s">
        <v>8</v>
      </c>
      <c r="E68" s="52">
        <v>33218</v>
      </c>
      <c r="F68" s="55">
        <v>41000</v>
      </c>
      <c r="G68" s="54">
        <v>1</v>
      </c>
      <c r="H68" s="54" t="str">
        <f>VLOOKUP(TableauBS[[#This Row],[Statut]],$AE$23:$AF$26,2,FALSE)</f>
        <v>Ouvrier</v>
      </c>
      <c r="I68" s="38">
        <v>28309</v>
      </c>
      <c r="J68" s="8">
        <v>0</v>
      </c>
      <c r="K68" s="9" t="str">
        <f>IF(TableauBS[[#This Row],[Absenteisme]]=0,"",1)</f>
        <v/>
      </c>
      <c r="L68" s="10">
        <v>1</v>
      </c>
      <c r="M68" s="12" t="s">
        <v>130</v>
      </c>
      <c r="N68" s="146" t="s">
        <v>130</v>
      </c>
      <c r="O68" s="146"/>
      <c r="P68" s="150" t="str">
        <f t="shared" si="6"/>
        <v>Individu_79</v>
      </c>
      <c r="Q68" s="151">
        <f>($J$3-TableauBS[[#This Row],[D_Arrivée]])/365.25</f>
        <v>9.7494866529774136</v>
      </c>
      <c r="R68" s="220">
        <f t="shared" si="7"/>
        <v>2</v>
      </c>
      <c r="S68" s="151">
        <f t="shared" si="8"/>
        <v>31.055441478439427</v>
      </c>
      <c r="T68" s="161">
        <f t="shared" si="9"/>
        <v>3</v>
      </c>
      <c r="U68" s="135" t="str">
        <f>VLOOKUP(TableauBS[[#This Row],[Categorie age ]],$W$6:$Z$10,3,FALSE)</f>
        <v>de 30 ans à 45ans</v>
      </c>
      <c r="V68" s="114"/>
      <c r="W68" s="114"/>
      <c r="X68" s="114"/>
      <c r="Y68" s="114"/>
      <c r="Z68" s="114"/>
      <c r="AA68" s="114"/>
      <c r="AB68" s="114"/>
      <c r="AJ68" s="1"/>
      <c r="AK68" s="1"/>
      <c r="AO68" s="1"/>
      <c r="AP68" s="50"/>
      <c r="AQ68" s="50"/>
    </row>
    <row r="69" spans="2:43" x14ac:dyDescent="0.15">
      <c r="B69" s="1"/>
      <c r="C69" s="49" t="s">
        <v>92</v>
      </c>
      <c r="D69" s="8" t="s">
        <v>9</v>
      </c>
      <c r="E69" s="52">
        <v>33872</v>
      </c>
      <c r="F69" s="55">
        <v>42583</v>
      </c>
      <c r="G69" s="54">
        <v>1</v>
      </c>
      <c r="H69" s="54" t="str">
        <f>VLOOKUP(TableauBS[[#This Row],[Statut]],$AE$23:$AF$26,2,FALSE)</f>
        <v>Ouvrier</v>
      </c>
      <c r="I69" s="38">
        <v>29519</v>
      </c>
      <c r="J69" s="8">
        <v>1</v>
      </c>
      <c r="K69" s="9">
        <f>IF(TableauBS[[#This Row],[Absenteisme]]=0,"",1)</f>
        <v>1</v>
      </c>
      <c r="L69" s="10">
        <v>1</v>
      </c>
      <c r="M69" s="12" t="s">
        <v>130</v>
      </c>
      <c r="N69" s="146" t="s">
        <v>130</v>
      </c>
      <c r="O69" s="146"/>
      <c r="P69" s="150" t="str">
        <f t="shared" si="6"/>
        <v>Individu_80</v>
      </c>
      <c r="Q69" s="151">
        <f>($J$3-TableauBS[[#This Row],[D_Arrivée]])/365.25</f>
        <v>5.415468856947296</v>
      </c>
      <c r="R69" s="220">
        <f t="shared" si="7"/>
        <v>2</v>
      </c>
      <c r="S69" s="151">
        <f t="shared" si="8"/>
        <v>29.264887063655031</v>
      </c>
      <c r="T69" s="161">
        <f t="shared" si="9"/>
        <v>2</v>
      </c>
      <c r="U69" s="135" t="str">
        <f>VLOOKUP(TableauBS[[#This Row],[Categorie age ]],$W$6:$Z$10,3,FALSE)</f>
        <v>de 20 ans à 30ans</v>
      </c>
      <c r="V69" s="114"/>
      <c r="W69" s="114"/>
      <c r="X69" s="114"/>
      <c r="Y69" s="114"/>
      <c r="Z69" s="114"/>
      <c r="AA69" s="114"/>
      <c r="AB69" s="114"/>
      <c r="AJ69" s="1"/>
      <c r="AK69" s="1"/>
      <c r="AO69" s="1"/>
      <c r="AP69" s="50"/>
      <c r="AQ69" s="50"/>
    </row>
    <row r="70" spans="2:43" x14ac:dyDescent="0.15">
      <c r="B70" s="1"/>
      <c r="C70" s="126" t="s">
        <v>13</v>
      </c>
      <c r="D70" s="127" t="s">
        <v>9</v>
      </c>
      <c r="E70" s="128">
        <v>32611</v>
      </c>
      <c r="F70" s="129">
        <v>44409</v>
      </c>
      <c r="G70" s="130">
        <v>1</v>
      </c>
      <c r="H70" s="130" t="str">
        <f>VLOOKUP(TableauBS[[#This Row],[Statut]],$AE$23:$AF$26,2,FALSE)</f>
        <v>Ouvrier</v>
      </c>
      <c r="I70" s="131">
        <v>9580</v>
      </c>
      <c r="J70" s="132">
        <v>0</v>
      </c>
      <c r="K70" s="132" t="str">
        <f>IF(TableauBS[[#This Row],[Absenteisme]]=0,"",1)</f>
        <v/>
      </c>
      <c r="L70" s="133">
        <v>1</v>
      </c>
      <c r="M70" s="134">
        <v>44469</v>
      </c>
      <c r="N70" s="147">
        <v>2</v>
      </c>
      <c r="O70" s="147" t="str">
        <f>VLOOKUP(TableauBS[[#This Row],[Motif_Sortie]],$AE$34:$AI$40,2,FALSE)</f>
        <v>Démission</v>
      </c>
      <c r="P70" s="152" t="str">
        <f t="shared" ref="P70:P85" si="10">C70</f>
        <v>Individu_04</v>
      </c>
      <c r="Q70" s="153">
        <f>($J$3-TableauBS[[#This Row],[D_Arrivée]])/365.25</f>
        <v>0.41615331964407942</v>
      </c>
      <c r="R70" s="220">
        <f t="shared" ref="R70:R85" si="11">IF(Q70&lt;=$X$14,1,IF(Q70&lt;=$X$15,2,IF(Q70&lt;=$X$16,3,IF(Q70&lt;=$X$17,4,IF(Q70&lt;=$X$18,5,6)))))</f>
        <v>1</v>
      </c>
      <c r="S70" s="153">
        <f t="shared" ref="S70:S85" si="12">($J$3-E70)/365.25</f>
        <v>32.717316906228611</v>
      </c>
      <c r="T70" s="162">
        <f t="shared" ref="T70:T85" si="13">IF(S70&lt;=$X$6,1,IF(S70&lt;=$X$7,2,IF(S70&lt;=$X$8,3,IF(S70&lt;=$X$10,4,5))))</f>
        <v>3</v>
      </c>
      <c r="U70" s="135" t="str">
        <f>VLOOKUP(TableauBS[[#This Row],[Categorie age ]],$W$6:$Z$10,3,FALSE)</f>
        <v>de 30 ans à 45ans</v>
      </c>
      <c r="V70" s="114"/>
      <c r="W70" s="114"/>
      <c r="X70" s="114"/>
      <c r="Y70" s="114"/>
      <c r="Z70" s="114"/>
      <c r="AA70" s="114"/>
      <c r="AB70" s="114"/>
      <c r="AJ70" s="1"/>
      <c r="AK70" s="1"/>
      <c r="AO70" s="1"/>
      <c r="AP70" s="50"/>
      <c r="AQ70" s="50"/>
    </row>
    <row r="71" spans="2:43" x14ac:dyDescent="0.15">
      <c r="B71" s="1"/>
      <c r="C71" s="126" t="s">
        <v>23</v>
      </c>
      <c r="D71" s="127" t="s">
        <v>8</v>
      </c>
      <c r="E71" s="128">
        <v>22719</v>
      </c>
      <c r="F71" s="129">
        <v>30864</v>
      </c>
      <c r="G71" s="130">
        <v>3</v>
      </c>
      <c r="H71" s="130" t="str">
        <f>VLOOKUP(TableauBS[[#This Row],[Statut]],$AE$23:$AF$26,2,FALSE)</f>
        <v>Cadre</v>
      </c>
      <c r="I71" s="131">
        <v>35087</v>
      </c>
      <c r="J71" s="132">
        <v>1</v>
      </c>
      <c r="K71" s="132">
        <f>IF(TableauBS[[#This Row],[Absenteisme]]=0,"",1)</f>
        <v>1</v>
      </c>
      <c r="L71" s="133">
        <v>1</v>
      </c>
      <c r="M71" s="134">
        <v>44439</v>
      </c>
      <c r="N71" s="147">
        <v>3</v>
      </c>
      <c r="O71" s="147" t="str">
        <f>VLOOKUP(TableauBS[[#This Row],[Motif_Sortie]],$AE$34:$AI$40,2,FALSE)</f>
        <v>Retraite</v>
      </c>
      <c r="P71" s="152" t="str">
        <f t="shared" si="10"/>
        <v>Individu_14</v>
      </c>
      <c r="Q71" s="153">
        <f>($J$3-TableauBS[[#This Row],[D_Arrivée]])/365.25</f>
        <v>37.500342231348391</v>
      </c>
      <c r="R71" s="220">
        <f t="shared" si="11"/>
        <v>5</v>
      </c>
      <c r="S71" s="153">
        <f t="shared" si="12"/>
        <v>59.800136892539356</v>
      </c>
      <c r="T71" s="162">
        <f t="shared" si="13"/>
        <v>5</v>
      </c>
      <c r="U71" s="135" t="str">
        <f>VLOOKUP(TableauBS[[#This Row],[Categorie age ]],$W$6:$Z$10,3,FALSE)</f>
        <v xml:space="preserve">superieur à 50 ans </v>
      </c>
      <c r="V71" s="114"/>
      <c r="W71" s="114"/>
      <c r="X71" s="114"/>
      <c r="Y71" s="114"/>
      <c r="Z71" s="114"/>
      <c r="AA71" s="114"/>
      <c r="AB71" s="114"/>
      <c r="AJ71" s="1"/>
      <c r="AK71" s="1"/>
      <c r="AO71" s="1"/>
      <c r="AP71" s="50"/>
      <c r="AQ71" s="50"/>
    </row>
    <row r="72" spans="2:43" x14ac:dyDescent="0.15">
      <c r="B72" s="1"/>
      <c r="C72" s="126" t="s">
        <v>39</v>
      </c>
      <c r="D72" s="127" t="s">
        <v>9</v>
      </c>
      <c r="E72" s="128">
        <v>31369</v>
      </c>
      <c r="F72" s="129">
        <v>38626</v>
      </c>
      <c r="G72" s="130">
        <v>1</v>
      </c>
      <c r="H72" s="130" t="str">
        <f>VLOOKUP(TableauBS[[#This Row],[Statut]],$AE$23:$AF$26,2,FALSE)</f>
        <v>Ouvrier</v>
      </c>
      <c r="I72" s="131">
        <v>17995</v>
      </c>
      <c r="J72" s="132">
        <v>0</v>
      </c>
      <c r="K72" s="132" t="str">
        <f>IF(TableauBS[[#This Row],[Absenteisme]]=0,"",1)</f>
        <v/>
      </c>
      <c r="L72" s="133">
        <v>1</v>
      </c>
      <c r="M72" s="134">
        <v>44439</v>
      </c>
      <c r="N72" s="147">
        <v>5</v>
      </c>
      <c r="O72" s="147" t="str">
        <f>VLOOKUP(TableauBS[[#This Row],[Motif_Sortie]],$AE$34:$AI$40,2,FALSE)</f>
        <v>Licenciement non éco</v>
      </c>
      <c r="P72" s="152" t="str">
        <f t="shared" si="10"/>
        <v>Individu_30</v>
      </c>
      <c r="Q72" s="153">
        <f>($J$3-TableauBS[[#This Row],[D_Arrivée]])/365.25</f>
        <v>16.249144421629023</v>
      </c>
      <c r="R72" s="220">
        <f t="shared" si="11"/>
        <v>3</v>
      </c>
      <c r="S72" s="153">
        <f t="shared" si="12"/>
        <v>36.11772758384668</v>
      </c>
      <c r="T72" s="162">
        <f t="shared" si="13"/>
        <v>3</v>
      </c>
      <c r="U72" s="135" t="str">
        <f>VLOOKUP(TableauBS[[#This Row],[Categorie age ]],$W$6:$Z$10,3,FALSE)</f>
        <v>de 30 ans à 45ans</v>
      </c>
      <c r="V72" s="114"/>
      <c r="W72" s="114"/>
      <c r="X72" s="114"/>
      <c r="Y72" s="114"/>
      <c r="Z72" s="114"/>
      <c r="AA72" s="114"/>
      <c r="AB72" s="114"/>
      <c r="AJ72" s="1"/>
      <c r="AK72" s="1"/>
      <c r="AO72" s="1"/>
      <c r="AP72" s="50"/>
      <c r="AQ72" s="50"/>
    </row>
    <row r="73" spans="2:43" x14ac:dyDescent="0.15">
      <c r="B73" s="1"/>
      <c r="C73" s="126" t="s">
        <v>89</v>
      </c>
      <c r="D73" s="127" t="s">
        <v>8</v>
      </c>
      <c r="E73" s="128">
        <v>32727</v>
      </c>
      <c r="F73" s="129">
        <v>43647</v>
      </c>
      <c r="G73" s="130">
        <v>1</v>
      </c>
      <c r="H73" s="130" t="str">
        <f>VLOOKUP(TableauBS[[#This Row],[Statut]],$AE$23:$AF$26,2,FALSE)</f>
        <v>Ouvrier</v>
      </c>
      <c r="I73" s="131">
        <v>4375</v>
      </c>
      <c r="J73" s="127">
        <v>0</v>
      </c>
      <c r="K73" s="132" t="str">
        <f>IF(TableauBS[[#This Row],[Absenteisme]]=0,"",1)</f>
        <v/>
      </c>
      <c r="L73" s="133">
        <v>1</v>
      </c>
      <c r="M73" s="134">
        <v>44439</v>
      </c>
      <c r="N73" s="147">
        <v>5</v>
      </c>
      <c r="O73" s="147" t="str">
        <f>VLOOKUP(TableauBS[[#This Row],[Motif_Sortie]],$AE$34:$AI$40,2,FALSE)</f>
        <v>Licenciement non éco</v>
      </c>
      <c r="P73" s="152" t="str">
        <f t="shared" si="10"/>
        <v>Individu_77</v>
      </c>
      <c r="Q73" s="153">
        <f>($J$3-TableauBS[[#This Row],[D_Arrivée]])/365.25</f>
        <v>2.5023956194387407</v>
      </c>
      <c r="R73" s="220">
        <f t="shared" si="11"/>
        <v>1</v>
      </c>
      <c r="S73" s="153">
        <f t="shared" si="12"/>
        <v>32.399726214921287</v>
      </c>
      <c r="T73" s="162">
        <f t="shared" si="13"/>
        <v>3</v>
      </c>
      <c r="U73" s="135" t="str">
        <f>VLOOKUP(TableauBS[[#This Row],[Categorie age ]],$W$6:$Z$10,3,FALSE)</f>
        <v>de 30 ans à 45ans</v>
      </c>
      <c r="V73" s="114"/>
      <c r="W73" s="114"/>
      <c r="X73" s="114"/>
      <c r="Y73" s="114"/>
      <c r="Z73" s="114"/>
      <c r="AA73" s="114"/>
      <c r="AB73" s="114"/>
      <c r="AJ73" s="1"/>
      <c r="AK73" s="1"/>
      <c r="AO73" s="1"/>
      <c r="AP73" s="50"/>
      <c r="AQ73" s="50"/>
    </row>
    <row r="74" spans="2:43" x14ac:dyDescent="0.15">
      <c r="B74" s="1"/>
      <c r="C74" s="126" t="s">
        <v>17</v>
      </c>
      <c r="D74" s="127" t="s">
        <v>9</v>
      </c>
      <c r="E74" s="128">
        <v>22146</v>
      </c>
      <c r="F74" s="129">
        <v>28915</v>
      </c>
      <c r="G74" s="130">
        <v>3</v>
      </c>
      <c r="H74" s="130" t="str">
        <f>VLOOKUP(TableauBS[[#This Row],[Statut]],$AE$23:$AF$26,2,FALSE)</f>
        <v>Cadre</v>
      </c>
      <c r="I74" s="131">
        <v>20739</v>
      </c>
      <c r="J74" s="132">
        <v>0</v>
      </c>
      <c r="K74" s="132" t="str">
        <f>IF(TableauBS[[#This Row],[Absenteisme]]=0,"",1)</f>
        <v/>
      </c>
      <c r="L74" s="133">
        <v>0.7</v>
      </c>
      <c r="M74" s="134">
        <v>44408</v>
      </c>
      <c r="N74" s="147">
        <v>3</v>
      </c>
      <c r="O74" s="147" t="str">
        <f>VLOOKUP(TableauBS[[#This Row],[Motif_Sortie]],$AE$34:$AI$40,2,FALSE)</f>
        <v>Retraite</v>
      </c>
      <c r="P74" s="152" t="str">
        <f t="shared" si="10"/>
        <v>Individu_08</v>
      </c>
      <c r="Q74" s="153">
        <f>($J$3-TableauBS[[#This Row],[D_Arrivée]])/365.25</f>
        <v>42.836413415468854</v>
      </c>
      <c r="R74" s="220">
        <f t="shared" si="11"/>
        <v>6</v>
      </c>
      <c r="S74" s="153">
        <f t="shared" si="12"/>
        <v>61.368925393566052</v>
      </c>
      <c r="T74" s="162">
        <f t="shared" si="13"/>
        <v>5</v>
      </c>
      <c r="U74" s="135" t="str">
        <f>VLOOKUP(TableauBS[[#This Row],[Categorie age ]],$W$6:$Z$10,3,FALSE)</f>
        <v xml:space="preserve">superieur à 50 ans </v>
      </c>
      <c r="V74" s="114"/>
      <c r="W74" s="114"/>
      <c r="X74" s="114"/>
      <c r="Y74" s="114"/>
      <c r="Z74" s="114"/>
      <c r="AA74" s="114"/>
      <c r="AB74" s="114"/>
      <c r="AJ74" s="1"/>
      <c r="AK74" s="1"/>
      <c r="AO74" s="1"/>
      <c r="AP74" s="50"/>
      <c r="AQ74" s="50"/>
    </row>
    <row r="75" spans="2:43" x14ac:dyDescent="0.15">
      <c r="B75" s="1"/>
      <c r="C75" s="126" t="s">
        <v>48</v>
      </c>
      <c r="D75" s="127" t="s">
        <v>9</v>
      </c>
      <c r="E75" s="128">
        <v>35855</v>
      </c>
      <c r="F75" s="129">
        <v>43282</v>
      </c>
      <c r="G75" s="130">
        <v>1</v>
      </c>
      <c r="H75" s="130" t="str">
        <f>VLOOKUP(TableauBS[[#This Row],[Statut]],$AE$23:$AF$26,2,FALSE)</f>
        <v>Ouvrier</v>
      </c>
      <c r="I75" s="131">
        <v>9931</v>
      </c>
      <c r="J75" s="132">
        <v>1</v>
      </c>
      <c r="K75" s="132">
        <f>IF(TableauBS[[#This Row],[Absenteisme]]=0,"",1)</f>
        <v>1</v>
      </c>
      <c r="L75" s="133">
        <v>0.5</v>
      </c>
      <c r="M75" s="134">
        <v>44408</v>
      </c>
      <c r="N75" s="147">
        <v>2</v>
      </c>
      <c r="O75" s="147" t="str">
        <f>VLOOKUP(TableauBS[[#This Row],[Motif_Sortie]],$AE$34:$AI$40,2,FALSE)</f>
        <v>Démission</v>
      </c>
      <c r="P75" s="152" t="str">
        <f t="shared" si="10"/>
        <v>Individu_39</v>
      </c>
      <c r="Q75" s="153">
        <f>($J$3-TableauBS[[#This Row],[D_Arrivée]])/365.25</f>
        <v>3.5017111567419574</v>
      </c>
      <c r="R75" s="220">
        <f t="shared" si="11"/>
        <v>1</v>
      </c>
      <c r="S75" s="153">
        <f t="shared" si="12"/>
        <v>23.835728952772072</v>
      </c>
      <c r="T75" s="162">
        <f t="shared" si="13"/>
        <v>2</v>
      </c>
      <c r="U75" s="135" t="str">
        <f>VLOOKUP(TableauBS[[#This Row],[Categorie age ]],$W$6:$Z$10,3,FALSE)</f>
        <v>de 20 ans à 30ans</v>
      </c>
      <c r="V75" s="114"/>
      <c r="W75" s="114"/>
      <c r="X75" s="114"/>
      <c r="Y75" s="114"/>
      <c r="Z75" s="114"/>
      <c r="AA75" s="114"/>
      <c r="AB75" s="114"/>
      <c r="AJ75" s="1"/>
      <c r="AK75" s="1"/>
      <c r="AO75" s="1"/>
      <c r="AP75" s="50"/>
      <c r="AQ75" s="50"/>
    </row>
    <row r="76" spans="2:43" x14ac:dyDescent="0.15">
      <c r="B76" s="1"/>
      <c r="C76" s="126" t="s">
        <v>58</v>
      </c>
      <c r="D76" s="127" t="s">
        <v>9</v>
      </c>
      <c r="E76" s="128">
        <v>25628</v>
      </c>
      <c r="F76" s="129">
        <v>36039</v>
      </c>
      <c r="G76" s="130">
        <v>1</v>
      </c>
      <c r="H76" s="130" t="str">
        <f>VLOOKUP(TableauBS[[#This Row],[Statut]],$AE$23:$AF$26,2,FALSE)</f>
        <v>Ouvrier</v>
      </c>
      <c r="I76" s="131">
        <v>17113</v>
      </c>
      <c r="J76" s="127">
        <v>12</v>
      </c>
      <c r="K76" s="132">
        <f>IF(TableauBS[[#This Row],[Absenteisme]]=0,"",1)</f>
        <v>1</v>
      </c>
      <c r="L76" s="133">
        <v>0.6</v>
      </c>
      <c r="M76" s="134">
        <v>44408</v>
      </c>
      <c r="N76" s="147">
        <v>2</v>
      </c>
      <c r="O76" s="147" t="str">
        <f>VLOOKUP(TableauBS[[#This Row],[Motif_Sortie]],$AE$34:$AI$40,2,FALSE)</f>
        <v>Démission</v>
      </c>
      <c r="P76" s="152" t="str">
        <f t="shared" si="10"/>
        <v>Individu_46</v>
      </c>
      <c r="Q76" s="153">
        <f>($J$3-TableauBS[[#This Row],[D_Arrivée]])/365.25</f>
        <v>23.331964407939768</v>
      </c>
      <c r="R76" s="220">
        <f t="shared" si="11"/>
        <v>4</v>
      </c>
      <c r="S76" s="153">
        <f t="shared" si="12"/>
        <v>51.835728952772072</v>
      </c>
      <c r="T76" s="162">
        <f t="shared" si="13"/>
        <v>5</v>
      </c>
      <c r="U76" s="135" t="str">
        <f>VLOOKUP(TableauBS[[#This Row],[Categorie age ]],$W$6:$Z$10,3,FALSE)</f>
        <v xml:space="preserve">superieur à 50 ans </v>
      </c>
      <c r="V76" s="114"/>
      <c r="W76" s="114"/>
      <c r="X76" s="114"/>
      <c r="Y76" s="114"/>
      <c r="Z76" s="114"/>
      <c r="AA76" s="114"/>
      <c r="AB76" s="114"/>
      <c r="AJ76" s="1"/>
      <c r="AK76" s="1"/>
      <c r="AO76" s="1"/>
      <c r="AP76" s="50"/>
      <c r="AQ76" s="50"/>
    </row>
    <row r="77" spans="2:43" x14ac:dyDescent="0.15">
      <c r="B77" s="1"/>
      <c r="C77" s="126" t="s">
        <v>72</v>
      </c>
      <c r="D77" s="127" t="s">
        <v>8</v>
      </c>
      <c r="E77" s="128">
        <v>33652</v>
      </c>
      <c r="F77" s="129">
        <v>44317</v>
      </c>
      <c r="G77" s="130">
        <v>1</v>
      </c>
      <c r="H77" s="130" t="str">
        <f>VLOOKUP(TableauBS[[#This Row],[Statut]],$AE$23:$AF$26,2,FALSE)</f>
        <v>Ouvrier</v>
      </c>
      <c r="I77" s="131">
        <v>14024</v>
      </c>
      <c r="J77" s="127">
        <v>0</v>
      </c>
      <c r="K77" s="132" t="str">
        <f>IF(TableauBS[[#This Row],[Absenteisme]]=0,"",1)</f>
        <v/>
      </c>
      <c r="L77" s="133">
        <v>1</v>
      </c>
      <c r="M77" s="134">
        <v>44408</v>
      </c>
      <c r="N77" s="147">
        <v>5</v>
      </c>
      <c r="O77" s="147" t="str">
        <f>VLOOKUP(TableauBS[[#This Row],[Motif_Sortie]],$AE$34:$AI$40,2,FALSE)</f>
        <v>Licenciement non éco</v>
      </c>
      <c r="P77" s="152" t="str">
        <f t="shared" si="10"/>
        <v>Individu_60</v>
      </c>
      <c r="Q77" s="153">
        <f>($J$3-TableauBS[[#This Row],[D_Arrivée]])/365.25</f>
        <v>0.66803559206023266</v>
      </c>
      <c r="R77" s="220">
        <f t="shared" si="11"/>
        <v>1</v>
      </c>
      <c r="S77" s="153">
        <f t="shared" si="12"/>
        <v>29.867214236824093</v>
      </c>
      <c r="T77" s="162">
        <f t="shared" si="13"/>
        <v>2</v>
      </c>
      <c r="U77" s="135" t="str">
        <f>VLOOKUP(TableauBS[[#This Row],[Categorie age ]],$W$6:$Z$10,3,FALSE)</f>
        <v>de 20 ans à 30ans</v>
      </c>
      <c r="V77" s="114"/>
      <c r="W77" s="114"/>
      <c r="X77" s="114"/>
      <c r="Y77" s="114"/>
      <c r="Z77" s="114"/>
      <c r="AA77" s="114"/>
      <c r="AB77" s="114"/>
      <c r="AJ77" s="1"/>
      <c r="AK77" s="1"/>
      <c r="AO77" s="1"/>
      <c r="AP77" s="50"/>
      <c r="AQ77" s="50"/>
    </row>
    <row r="78" spans="2:43" ht="14" thickBot="1" x14ac:dyDescent="0.2">
      <c r="B78" s="1"/>
      <c r="C78" s="126" t="s">
        <v>44</v>
      </c>
      <c r="D78" s="127" t="s">
        <v>8</v>
      </c>
      <c r="E78" s="128">
        <v>33519</v>
      </c>
      <c r="F78" s="129">
        <v>43556</v>
      </c>
      <c r="G78" s="130">
        <v>2</v>
      </c>
      <c r="H78" s="130" t="str">
        <f>VLOOKUP(TableauBS[[#This Row],[Statut]],$AE$23:$AF$26,2,FALSE)</f>
        <v>Employé</v>
      </c>
      <c r="I78" s="131">
        <v>7714</v>
      </c>
      <c r="J78" s="132">
        <v>0</v>
      </c>
      <c r="K78" s="132" t="str">
        <f>IF(TableauBS[[#This Row],[Absenteisme]]=0,"",1)</f>
        <v/>
      </c>
      <c r="L78" s="133">
        <v>1</v>
      </c>
      <c r="M78" s="134">
        <v>44377</v>
      </c>
      <c r="N78" s="147">
        <v>2</v>
      </c>
      <c r="O78" s="147" t="str">
        <f>VLOOKUP(TableauBS[[#This Row],[Motif_Sortie]],$AE$34:$AI$40,2,FALSE)</f>
        <v>Démission</v>
      </c>
      <c r="P78" s="152" t="str">
        <f t="shared" si="10"/>
        <v>Individu_35</v>
      </c>
      <c r="Q78" s="153">
        <f>($J$3-TableauBS[[#This Row],[D_Arrivée]])/365.25</f>
        <v>2.751540041067762</v>
      </c>
      <c r="R78" s="220">
        <f t="shared" si="11"/>
        <v>1</v>
      </c>
      <c r="S78" s="153">
        <f t="shared" si="12"/>
        <v>30.231348391512661</v>
      </c>
      <c r="T78" s="162">
        <f t="shared" si="13"/>
        <v>3</v>
      </c>
      <c r="U78" s="135" t="str">
        <f>VLOOKUP(TableauBS[[#This Row],[Categorie age ]],$W$6:$Z$10,3,FALSE)</f>
        <v>de 30 ans à 45ans</v>
      </c>
      <c r="V78" s="114"/>
      <c r="W78" s="114"/>
      <c r="X78" s="114"/>
      <c r="Y78" s="114"/>
      <c r="Z78" s="114"/>
      <c r="AA78" s="114"/>
      <c r="AB78" s="114"/>
      <c r="AJ78" s="1"/>
      <c r="AK78" s="1"/>
      <c r="AO78" s="1"/>
      <c r="AP78" s="50"/>
      <c r="AQ78" s="50"/>
    </row>
    <row r="79" spans="2:43" x14ac:dyDescent="0.15">
      <c r="B79" s="1"/>
      <c r="C79" s="126" t="s">
        <v>59</v>
      </c>
      <c r="D79" s="127" t="s">
        <v>8</v>
      </c>
      <c r="E79" s="128">
        <v>28536</v>
      </c>
      <c r="F79" s="129">
        <v>37653</v>
      </c>
      <c r="G79" s="130">
        <v>1</v>
      </c>
      <c r="H79" s="130" t="str">
        <f>VLOOKUP(TableauBS[[#This Row],[Statut]],$AE$23:$AF$26,2,FALSE)</f>
        <v>Ouvrier</v>
      </c>
      <c r="I79" s="131">
        <v>17131</v>
      </c>
      <c r="J79" s="127">
        <v>2</v>
      </c>
      <c r="K79" s="132">
        <f>IF(TableauBS[[#This Row],[Absenteisme]]=0,"",1)</f>
        <v>1</v>
      </c>
      <c r="L79" s="133">
        <v>1</v>
      </c>
      <c r="M79" s="134">
        <v>44377</v>
      </c>
      <c r="N79" s="147">
        <v>1</v>
      </c>
      <c r="O79" s="147" t="str">
        <f>VLOOKUP(TableauBS[[#This Row],[Motif_Sortie]],$AE$34:$AI$40,2,FALSE)</f>
        <v>Décès</v>
      </c>
      <c r="P79" s="152" t="str">
        <f t="shared" si="10"/>
        <v>Individu_47</v>
      </c>
      <c r="Q79" s="153">
        <f>($J$3-TableauBS[[#This Row],[D_Arrivée]])/365.25</f>
        <v>18.913073237508556</v>
      </c>
      <c r="R79" s="220">
        <f t="shared" si="11"/>
        <v>3</v>
      </c>
      <c r="S79" s="153">
        <f t="shared" si="12"/>
        <v>43.874058863791923</v>
      </c>
      <c r="T79" s="162">
        <f t="shared" si="13"/>
        <v>3</v>
      </c>
      <c r="U79" s="135" t="str">
        <f>VLOOKUP(TableauBS[[#This Row],[Categorie age ]],$W$6:$Z$10,3,FALSE)</f>
        <v>de 30 ans à 45ans</v>
      </c>
      <c r="V79" s="114"/>
      <c r="W79" s="114"/>
      <c r="X79" s="114"/>
      <c r="Y79" s="114"/>
      <c r="Z79" s="114"/>
      <c r="AA79" s="114"/>
      <c r="AB79" s="114"/>
      <c r="AD79" s="30" t="s">
        <v>132</v>
      </c>
      <c r="AE79" s="31"/>
      <c r="AF79" s="32"/>
      <c r="AJ79" s="1"/>
      <c r="AK79" s="1"/>
      <c r="AO79" s="1"/>
      <c r="AP79" s="50"/>
      <c r="AQ79" s="50"/>
    </row>
    <row r="80" spans="2:43" x14ac:dyDescent="0.15">
      <c r="B80" s="1"/>
      <c r="C80" s="126" t="s">
        <v>26</v>
      </c>
      <c r="D80" s="127" t="s">
        <v>9</v>
      </c>
      <c r="E80" s="128">
        <v>24003</v>
      </c>
      <c r="F80" s="129">
        <v>33178</v>
      </c>
      <c r="G80" s="130">
        <v>2</v>
      </c>
      <c r="H80" s="130" t="str">
        <f>VLOOKUP(TableauBS[[#This Row],[Statut]],$AE$23:$AF$26,2,FALSE)</f>
        <v>Employé</v>
      </c>
      <c r="I80" s="131">
        <v>20141</v>
      </c>
      <c r="J80" s="132">
        <v>0</v>
      </c>
      <c r="K80" s="132" t="str">
        <f>IF(TableauBS[[#This Row],[Absenteisme]]=0,"",1)</f>
        <v/>
      </c>
      <c r="L80" s="133">
        <v>1</v>
      </c>
      <c r="M80" s="134">
        <v>44347</v>
      </c>
      <c r="N80" s="147">
        <v>1</v>
      </c>
      <c r="O80" s="147" t="str">
        <f>VLOOKUP(TableauBS[[#This Row],[Motif_Sortie]],$AE$34:$AI$40,2,FALSE)</f>
        <v>Décès</v>
      </c>
      <c r="P80" s="152" t="str">
        <f t="shared" si="10"/>
        <v>Individu_17</v>
      </c>
      <c r="Q80" s="153">
        <f>($J$3-TableauBS[[#This Row],[D_Arrivée]])/365.25</f>
        <v>31.16495550992471</v>
      </c>
      <c r="R80" s="220">
        <f t="shared" si="11"/>
        <v>5</v>
      </c>
      <c r="S80" s="153">
        <f t="shared" si="12"/>
        <v>56.284736481861735</v>
      </c>
      <c r="T80" s="162">
        <f t="shared" si="13"/>
        <v>5</v>
      </c>
      <c r="U80" s="135" t="str">
        <f>VLOOKUP(TableauBS[[#This Row],[Categorie age ]],$W$6:$Z$10,3,FALSE)</f>
        <v xml:space="preserve">superieur à 50 ans </v>
      </c>
      <c r="V80" s="114"/>
      <c r="W80" s="114"/>
      <c r="X80" s="114"/>
      <c r="Y80" s="114"/>
      <c r="Z80" s="114"/>
      <c r="AA80" s="114"/>
      <c r="AB80" s="114"/>
      <c r="AD80" s="33"/>
      <c r="AE80" s="34"/>
      <c r="AF80" s="35"/>
      <c r="AJ80" s="1"/>
      <c r="AK80" s="1"/>
      <c r="AO80" s="1"/>
      <c r="AP80" s="50"/>
      <c r="AQ80" s="50"/>
    </row>
    <row r="81" spans="2:43" x14ac:dyDescent="0.15">
      <c r="B81" s="1"/>
      <c r="C81" s="126" t="s">
        <v>54</v>
      </c>
      <c r="D81" s="127" t="s">
        <v>8</v>
      </c>
      <c r="E81" s="128">
        <v>22819</v>
      </c>
      <c r="F81" s="129">
        <v>30864</v>
      </c>
      <c r="G81" s="130">
        <v>2</v>
      </c>
      <c r="H81" s="130" t="str">
        <f>VLOOKUP(TableauBS[[#This Row],[Statut]],$AE$23:$AF$26,2,FALSE)</f>
        <v>Employé</v>
      </c>
      <c r="I81" s="131">
        <v>17563</v>
      </c>
      <c r="J81" s="127">
        <v>12</v>
      </c>
      <c r="K81" s="132">
        <f>IF(TableauBS[[#This Row],[Absenteisme]]=0,"",1)</f>
        <v>1</v>
      </c>
      <c r="L81" s="133">
        <v>1</v>
      </c>
      <c r="M81" s="134">
        <v>44347</v>
      </c>
      <c r="N81" s="147">
        <v>2</v>
      </c>
      <c r="O81" s="147" t="str">
        <f>VLOOKUP(TableauBS[[#This Row],[Motif_Sortie]],$AE$34:$AI$40,2,FALSE)</f>
        <v>Démission</v>
      </c>
      <c r="P81" s="152" t="str">
        <f t="shared" si="10"/>
        <v>Individu_42</v>
      </c>
      <c r="Q81" s="153">
        <f>($J$3-TableauBS[[#This Row],[D_Arrivée]])/365.25</f>
        <v>37.500342231348391</v>
      </c>
      <c r="R81" s="220">
        <f t="shared" si="11"/>
        <v>5</v>
      </c>
      <c r="S81" s="153">
        <f t="shared" si="12"/>
        <v>59.526351813826146</v>
      </c>
      <c r="T81" s="162">
        <f t="shared" si="13"/>
        <v>5</v>
      </c>
      <c r="U81" s="135" t="str">
        <f>VLOOKUP(TableauBS[[#This Row],[Categorie age ]],$W$6:$Z$10,3,FALSE)</f>
        <v xml:space="preserve">superieur à 50 ans </v>
      </c>
      <c r="V81" s="114"/>
      <c r="W81" s="114"/>
      <c r="X81" s="114"/>
      <c r="Y81" s="114"/>
      <c r="Z81" s="114"/>
      <c r="AA81" s="114"/>
      <c r="AB81" s="114"/>
      <c r="AD81" s="39" t="s">
        <v>165</v>
      </c>
      <c r="AE81" s="34"/>
      <c r="AF81" s="35"/>
      <c r="AJ81" s="1"/>
      <c r="AK81" s="1"/>
      <c r="AO81" s="1"/>
      <c r="AP81" s="50"/>
      <c r="AQ81" s="50"/>
    </row>
    <row r="82" spans="2:43" x14ac:dyDescent="0.15">
      <c r="B82" s="1"/>
      <c r="C82" s="126" t="s">
        <v>70</v>
      </c>
      <c r="D82" s="127" t="s">
        <v>9</v>
      </c>
      <c r="E82" s="128">
        <v>29896</v>
      </c>
      <c r="F82" s="129">
        <v>38108</v>
      </c>
      <c r="G82" s="130">
        <v>1</v>
      </c>
      <c r="H82" s="130" t="str">
        <f>VLOOKUP(TableauBS[[#This Row],[Statut]],$AE$23:$AF$26,2,FALSE)</f>
        <v>Ouvrier</v>
      </c>
      <c r="I82" s="131">
        <v>12460</v>
      </c>
      <c r="J82" s="127">
        <v>5</v>
      </c>
      <c r="K82" s="132">
        <f>IF(TableauBS[[#This Row],[Absenteisme]]=0,"",1)</f>
        <v>1</v>
      </c>
      <c r="L82" s="133">
        <v>1</v>
      </c>
      <c r="M82" s="134">
        <v>44347</v>
      </c>
      <c r="N82" s="147">
        <v>5</v>
      </c>
      <c r="O82" s="147" t="str">
        <f>VLOOKUP(TableauBS[[#This Row],[Motif_Sortie]],$AE$34:$AI$40,2,FALSE)</f>
        <v>Licenciement non éco</v>
      </c>
      <c r="P82" s="152" t="str">
        <f t="shared" si="10"/>
        <v>Individu_58</v>
      </c>
      <c r="Q82" s="153">
        <f>($J$3-TableauBS[[#This Row],[D_Arrivée]])/365.25</f>
        <v>17.66735112936345</v>
      </c>
      <c r="R82" s="220">
        <f t="shared" si="11"/>
        <v>3</v>
      </c>
      <c r="S82" s="153">
        <f t="shared" si="12"/>
        <v>40.150581793292268</v>
      </c>
      <c r="T82" s="162">
        <f t="shared" si="13"/>
        <v>3</v>
      </c>
      <c r="U82" s="135" t="str">
        <f>VLOOKUP(TableauBS[[#This Row],[Categorie age ]],$W$6:$Z$10,3,FALSE)</f>
        <v>de 30 ans à 45ans</v>
      </c>
      <c r="V82" s="114"/>
      <c r="W82" s="114"/>
      <c r="X82" s="114"/>
      <c r="Y82" s="114"/>
      <c r="Z82" s="114"/>
      <c r="AA82" s="114"/>
      <c r="AB82" s="114"/>
      <c r="AD82" s="33" t="s">
        <v>133</v>
      </c>
      <c r="AE82" s="34"/>
      <c r="AF82" s="35"/>
      <c r="AJ82" s="1"/>
      <c r="AK82" s="1"/>
      <c r="AO82" s="1"/>
      <c r="AP82" s="50"/>
      <c r="AQ82" s="50"/>
    </row>
    <row r="83" spans="2:43" x14ac:dyDescent="0.15">
      <c r="B83" s="1"/>
      <c r="C83" s="126" t="s">
        <v>35</v>
      </c>
      <c r="D83" s="127" t="s">
        <v>8</v>
      </c>
      <c r="E83" s="128">
        <v>29779</v>
      </c>
      <c r="F83" s="129">
        <v>43647</v>
      </c>
      <c r="G83" s="130">
        <v>2</v>
      </c>
      <c r="H83" s="130" t="str">
        <f>VLOOKUP(TableauBS[[#This Row],[Statut]],$AE$23:$AF$26,2,FALSE)</f>
        <v>Employé</v>
      </c>
      <c r="I83" s="131">
        <v>14360</v>
      </c>
      <c r="J83" s="132">
        <v>0</v>
      </c>
      <c r="K83" s="132" t="str">
        <f>IF(TableauBS[[#This Row],[Absenteisme]]=0,"",1)</f>
        <v/>
      </c>
      <c r="L83" s="133">
        <v>1</v>
      </c>
      <c r="M83" s="134">
        <v>44316</v>
      </c>
      <c r="N83" s="147">
        <v>5</v>
      </c>
      <c r="O83" s="147" t="str">
        <f>VLOOKUP(TableauBS[[#This Row],[Motif_Sortie]],$AE$34:$AI$40,2,FALSE)</f>
        <v>Licenciement non éco</v>
      </c>
      <c r="P83" s="152" t="str">
        <f t="shared" si="10"/>
        <v>Individu_26</v>
      </c>
      <c r="Q83" s="153">
        <f>($J$3-TableauBS[[#This Row],[D_Arrivée]])/365.25</f>
        <v>2.5023956194387407</v>
      </c>
      <c r="R83" s="220">
        <f t="shared" si="11"/>
        <v>1</v>
      </c>
      <c r="S83" s="153">
        <f t="shared" si="12"/>
        <v>40.470910335386719</v>
      </c>
      <c r="T83" s="162">
        <f t="shared" si="13"/>
        <v>3</v>
      </c>
      <c r="U83" s="135" t="str">
        <f>VLOOKUP(TableauBS[[#This Row],[Categorie age ]],$W$6:$Z$10,3,FALSE)</f>
        <v>de 30 ans à 45ans</v>
      </c>
      <c r="V83" s="114"/>
      <c r="W83" s="114"/>
      <c r="X83" s="114"/>
      <c r="Y83" s="114"/>
      <c r="Z83" s="114"/>
      <c r="AA83" s="114"/>
      <c r="AB83" s="114"/>
      <c r="AD83" s="33" t="s">
        <v>134</v>
      </c>
      <c r="AE83" s="34"/>
      <c r="AF83" s="35"/>
      <c r="AJ83" s="1"/>
      <c r="AK83" s="1"/>
      <c r="AO83" s="1"/>
      <c r="AP83" s="50"/>
      <c r="AQ83" s="50"/>
    </row>
    <row r="84" spans="2:43" ht="14" thickBot="1" x14ac:dyDescent="0.2">
      <c r="B84" s="1"/>
      <c r="C84" s="126" t="s">
        <v>64</v>
      </c>
      <c r="D84" s="127" t="s">
        <v>9</v>
      </c>
      <c r="E84" s="128">
        <v>31781</v>
      </c>
      <c r="F84" s="129">
        <v>38657</v>
      </c>
      <c r="G84" s="130">
        <v>1</v>
      </c>
      <c r="H84" s="130" t="str">
        <f>VLOOKUP(TableauBS[[#This Row],[Statut]],$AE$23:$AF$26,2,FALSE)</f>
        <v>Ouvrier</v>
      </c>
      <c r="I84" s="131">
        <v>11539</v>
      </c>
      <c r="J84" s="127">
        <v>7</v>
      </c>
      <c r="K84" s="132">
        <f>IF(TableauBS[[#This Row],[Absenteisme]]=0,"",1)</f>
        <v>1</v>
      </c>
      <c r="L84" s="133">
        <v>1</v>
      </c>
      <c r="M84" s="134">
        <v>44316</v>
      </c>
      <c r="N84" s="147">
        <v>7</v>
      </c>
      <c r="O84" s="147" t="str">
        <f>VLOOKUP(TableauBS[[#This Row],[Motif_Sortie]],$AE$34:$AI$40,2,FALSE)</f>
        <v>Autres</v>
      </c>
      <c r="P84" s="152" t="str">
        <f t="shared" si="10"/>
        <v>Individu_52</v>
      </c>
      <c r="Q84" s="153">
        <f>($J$3-TableauBS[[#This Row],[D_Arrivée]])/365.25</f>
        <v>16.164271047227928</v>
      </c>
      <c r="R84" s="220">
        <f t="shared" si="11"/>
        <v>3</v>
      </c>
      <c r="S84" s="153">
        <f t="shared" si="12"/>
        <v>34.989733059548257</v>
      </c>
      <c r="T84" s="162">
        <f t="shared" si="13"/>
        <v>3</v>
      </c>
      <c r="U84" s="135" t="str">
        <f>VLOOKUP(TableauBS[[#This Row],[Categorie age ]],$W$6:$Z$10,3,FALSE)</f>
        <v>de 30 ans à 45ans</v>
      </c>
      <c r="V84" s="114"/>
      <c r="W84" s="114"/>
      <c r="X84" s="114"/>
      <c r="Y84" s="114"/>
      <c r="Z84" s="114"/>
      <c r="AA84" s="114"/>
      <c r="AB84" s="114"/>
      <c r="AD84" s="40" t="s">
        <v>166</v>
      </c>
      <c r="AE84" s="36"/>
      <c r="AF84" s="37"/>
      <c r="AJ84" s="1"/>
      <c r="AK84" s="1"/>
      <c r="AO84" s="1"/>
      <c r="AP84" s="50"/>
      <c r="AQ84" s="50"/>
    </row>
    <row r="85" spans="2:43" ht="14" thickBot="1" x14ac:dyDescent="0.2">
      <c r="B85" s="1"/>
      <c r="C85" s="136" t="s">
        <v>71</v>
      </c>
      <c r="D85" s="137" t="s">
        <v>9</v>
      </c>
      <c r="E85" s="138">
        <v>25438</v>
      </c>
      <c r="F85" s="139">
        <v>32721</v>
      </c>
      <c r="G85" s="140">
        <v>2</v>
      </c>
      <c r="H85" s="140" t="str">
        <f>VLOOKUP(TableauBS[[#This Row],[Statut]],$AE$23:$AF$26,2,FALSE)</f>
        <v>Employé</v>
      </c>
      <c r="I85" s="141">
        <v>13110</v>
      </c>
      <c r="J85" s="137">
        <v>90</v>
      </c>
      <c r="K85" s="227">
        <f>IF(TableauBS[[#This Row],[Absenteisme]]=0,"",1)</f>
        <v>1</v>
      </c>
      <c r="L85" s="142">
        <v>0.5</v>
      </c>
      <c r="M85" s="143">
        <v>44316</v>
      </c>
      <c r="N85" s="148">
        <v>2</v>
      </c>
      <c r="O85" s="147" t="str">
        <f>VLOOKUP(TableauBS[[#This Row],[Motif_Sortie]],$AE$34:$AI$40,2,FALSE)</f>
        <v>Démission</v>
      </c>
      <c r="P85" s="152" t="str">
        <f t="shared" si="10"/>
        <v>Individu_59</v>
      </c>
      <c r="Q85" s="153">
        <f>($J$3-TableauBS[[#This Row],[D_Arrivée]])/365.25</f>
        <v>32.416153319644081</v>
      </c>
      <c r="R85" s="220">
        <f t="shared" si="11"/>
        <v>5</v>
      </c>
      <c r="S85" s="153">
        <f t="shared" si="12"/>
        <v>52.355920602327174</v>
      </c>
      <c r="T85" s="162">
        <f t="shared" si="13"/>
        <v>5</v>
      </c>
      <c r="U85" s="135" t="str">
        <f>VLOOKUP(TableauBS[[#This Row],[Categorie age ]],$W$6:$Z$10,3,FALSE)</f>
        <v xml:space="preserve">superieur à 50 ans </v>
      </c>
      <c r="V85" s="114"/>
      <c r="W85" s="114"/>
      <c r="X85" s="114"/>
      <c r="Y85" s="114"/>
      <c r="Z85" s="114"/>
      <c r="AA85" s="114"/>
      <c r="AB85" s="114"/>
      <c r="AJ85" s="1"/>
      <c r="AK85" s="1"/>
      <c r="AO85" s="1"/>
      <c r="AP85" s="50"/>
      <c r="AQ85" s="50"/>
    </row>
    <row r="86" spans="2:43" x14ac:dyDescent="0.15">
      <c r="U86" s="114"/>
      <c r="V86" s="114"/>
      <c r="W86" s="114"/>
      <c r="X86" s="114"/>
    </row>
    <row r="87" spans="2:43" x14ac:dyDescent="0.15">
      <c r="D87"/>
      <c r="E87" s="93"/>
      <c r="I87" s="98"/>
      <c r="J87" s="98"/>
      <c r="K87" s="157"/>
      <c r="L87" s="258"/>
    </row>
    <row r="88" spans="2:43" x14ac:dyDescent="0.15">
      <c r="D88" s="90"/>
      <c r="E88" s="90"/>
      <c r="F88" s="90"/>
      <c r="G88" s="91"/>
      <c r="H88" s="90"/>
      <c r="I88" s="98" t="s">
        <v>167</v>
      </c>
      <c r="J88" s="156">
        <f>SUM(L6:L69)</f>
        <v>60.699999999999996</v>
      </c>
      <c r="K88" s="157"/>
      <c r="L88" s="258"/>
    </row>
    <row r="89" spans="2:43" x14ac:dyDescent="0.15">
      <c r="D89"/>
      <c r="E89"/>
      <c r="F89"/>
      <c r="G89"/>
      <c r="I89" s="98"/>
      <c r="J89" s="98"/>
      <c r="K89" s="157"/>
      <c r="L89" s="258"/>
    </row>
    <row r="90" spans="2:43" x14ac:dyDescent="0.15">
      <c r="C90" s="92"/>
      <c r="D90"/>
      <c r="E90"/>
      <c r="F90"/>
      <c r="I90" s="98" t="s">
        <v>168</v>
      </c>
      <c r="J90" s="157">
        <f>MAX(E6:E85)</f>
        <v>36173</v>
      </c>
      <c r="K90" s="158" t="str">
        <f>VLOOKUP(J90,E6:P85,9,FALSE)</f>
        <v xml:space="preserve"> </v>
      </c>
      <c r="L90" s="258"/>
    </row>
    <row r="91" spans="2:43" x14ac:dyDescent="0.15">
      <c r="D91"/>
      <c r="E91"/>
      <c r="F91"/>
      <c r="I91" s="98"/>
      <c r="J91" s="98"/>
      <c r="K91" s="157"/>
      <c r="L91" s="258"/>
    </row>
    <row r="92" spans="2:43" x14ac:dyDescent="0.15">
      <c r="D92"/>
      <c r="E92"/>
      <c r="F92"/>
      <c r="I92" s="239" t="s">
        <v>169</v>
      </c>
      <c r="J92" s="157">
        <f>MIN(F6:F85)</f>
        <v>28915</v>
      </c>
      <c r="K92" s="158" t="str">
        <f>VLOOKUP(J92,F6:P85,8,FALSE)</f>
        <v xml:space="preserve"> </v>
      </c>
      <c r="L92" s="258"/>
    </row>
    <row r="93" spans="2:43" x14ac:dyDescent="0.15">
      <c r="D93"/>
      <c r="E93"/>
      <c r="F93"/>
      <c r="I93" s="98"/>
      <c r="J93" s="98"/>
      <c r="K93" s="157"/>
      <c r="L93" s="258"/>
    </row>
    <row r="94" spans="2:43" x14ac:dyDescent="0.15">
      <c r="D94"/>
      <c r="E94"/>
      <c r="F94"/>
      <c r="I94" s="239" t="s">
        <v>170</v>
      </c>
      <c r="J94" s="159">
        <f>SUM(I6:I85)</f>
        <v>2704693</v>
      </c>
      <c r="K94" s="157"/>
      <c r="L94" s="258"/>
    </row>
    <row r="95" spans="2:43" x14ac:dyDescent="0.15">
      <c r="D95"/>
      <c r="E95"/>
      <c r="F95"/>
      <c r="I95" s="239"/>
      <c r="J95" s="159"/>
      <c r="K95" s="157"/>
      <c r="L95" s="258"/>
    </row>
    <row r="96" spans="2:43" ht="14" thickBot="1" x14ac:dyDescent="0.2">
      <c r="D96"/>
      <c r="E96"/>
      <c r="F96"/>
      <c r="I96" s="239"/>
      <c r="J96" s="159"/>
      <c r="K96" s="157"/>
      <c r="L96" s="258"/>
    </row>
    <row r="97" spans="2:14" x14ac:dyDescent="0.15">
      <c r="B97" s="60"/>
      <c r="C97" s="62"/>
      <c r="D97" s="62"/>
      <c r="E97" s="62"/>
      <c r="F97" s="62"/>
      <c r="G97" s="255"/>
      <c r="H97" s="62"/>
      <c r="I97" s="255"/>
      <c r="J97" s="255"/>
      <c r="K97" s="273"/>
      <c r="L97" s="256"/>
      <c r="M97" s="256"/>
      <c r="N97" s="257"/>
    </row>
    <row r="98" spans="2:14" x14ac:dyDescent="0.15">
      <c r="B98" s="64"/>
      <c r="C98" s="15"/>
      <c r="D98" s="15"/>
      <c r="E98" s="15"/>
      <c r="F98" s="15"/>
      <c r="G98" s="98"/>
      <c r="H98" s="15"/>
      <c r="I98" s="98"/>
      <c r="J98" s="98"/>
      <c r="K98" s="157"/>
      <c r="L98" s="258"/>
      <c r="M98" s="258"/>
      <c r="N98" s="259"/>
    </row>
    <row r="99" spans="2:14" ht="25" x14ac:dyDescent="0.25">
      <c r="B99" s="64"/>
      <c r="C99" s="15"/>
      <c r="D99" s="15"/>
      <c r="E99" s="15"/>
      <c r="F99" s="276" t="s">
        <v>187</v>
      </c>
      <c r="G99" s="98"/>
      <c r="H99" s="15"/>
      <c r="I99" s="98"/>
      <c r="J99" s="98"/>
      <c r="K99" s="157"/>
      <c r="L99" s="258"/>
      <c r="M99" s="258"/>
      <c r="N99" s="259"/>
    </row>
    <row r="100" spans="2:14" x14ac:dyDescent="0.15">
      <c r="B100" s="64"/>
      <c r="C100" s="15"/>
      <c r="D100" s="98"/>
      <c r="E100" s="260"/>
      <c r="F100" s="157"/>
      <c r="G100" s="98"/>
      <c r="H100" s="15"/>
      <c r="I100" s="98"/>
      <c r="J100" s="98"/>
      <c r="K100" s="157"/>
      <c r="L100" s="258"/>
      <c r="M100" s="258"/>
      <c r="N100" s="259"/>
    </row>
    <row r="101" spans="2:14" x14ac:dyDescent="0.15">
      <c r="B101" s="64"/>
      <c r="C101" s="15"/>
      <c r="D101" s="98"/>
      <c r="E101" s="260"/>
      <c r="F101" s="157"/>
      <c r="G101" s="98"/>
      <c r="H101" s="15"/>
      <c r="I101" s="98"/>
      <c r="J101" s="98"/>
      <c r="K101" s="157"/>
      <c r="L101" s="258"/>
      <c r="M101" s="258"/>
      <c r="N101" s="259"/>
    </row>
    <row r="102" spans="2:14" ht="20" x14ac:dyDescent="0.2">
      <c r="B102" s="64"/>
      <c r="C102" s="274" t="s">
        <v>248</v>
      </c>
      <c r="D102" s="262"/>
      <c r="E102" s="263"/>
      <c r="F102" s="157"/>
      <c r="G102" s="98"/>
      <c r="H102" s="15"/>
      <c r="I102" s="98"/>
      <c r="J102" s="98"/>
      <c r="K102" s="157"/>
      <c r="L102" s="258"/>
      <c r="M102" s="258"/>
      <c r="N102" s="259"/>
    </row>
    <row r="103" spans="2:14" x14ac:dyDescent="0.15">
      <c r="B103" s="64"/>
      <c r="C103" s="15"/>
      <c r="D103" s="98"/>
      <c r="E103" s="260"/>
      <c r="F103" s="157"/>
      <c r="G103" s="98"/>
      <c r="H103" s="15"/>
      <c r="I103" s="98"/>
      <c r="J103" s="98"/>
      <c r="K103" s="157"/>
      <c r="L103" s="258"/>
      <c r="M103" s="258"/>
      <c r="N103" s="259"/>
    </row>
    <row r="104" spans="2:14" x14ac:dyDescent="0.15">
      <c r="B104" s="64"/>
      <c r="C104" s="15"/>
      <c r="D104" s="98"/>
      <c r="E104" s="260"/>
      <c r="F104" s="157"/>
      <c r="G104" s="98"/>
      <c r="H104" s="15"/>
      <c r="I104" s="98"/>
      <c r="J104" s="98"/>
      <c r="K104" s="157"/>
      <c r="L104" s="258"/>
      <c r="M104" s="258"/>
      <c r="N104" s="259"/>
    </row>
    <row r="105" spans="2:14" ht="16" x14ac:dyDescent="0.2">
      <c r="B105" s="64"/>
      <c r="C105" s="277" t="s">
        <v>247</v>
      </c>
      <c r="D105" s="98"/>
      <c r="E105" s="260"/>
      <c r="F105" s="157"/>
      <c r="G105" s="98"/>
      <c r="H105" s="15"/>
      <c r="I105" s="98"/>
      <c r="J105" s="98"/>
      <c r="K105" s="157"/>
      <c r="L105" s="258"/>
      <c r="M105" s="258"/>
      <c r="N105" s="259"/>
    </row>
    <row r="106" spans="2:14" x14ac:dyDescent="0.15">
      <c r="B106" s="64"/>
      <c r="C106" s="15"/>
      <c r="D106" s="98"/>
      <c r="E106" s="260"/>
      <c r="F106" s="157"/>
      <c r="G106" s="98"/>
      <c r="H106" s="15"/>
      <c r="I106" s="98"/>
      <c r="J106" s="98"/>
      <c r="K106" s="157"/>
      <c r="L106" s="258"/>
      <c r="M106" s="258"/>
      <c r="N106" s="259"/>
    </row>
    <row r="107" spans="2:14" x14ac:dyDescent="0.15">
      <c r="B107" s="64"/>
      <c r="C107" s="15"/>
      <c r="D107" s="98"/>
      <c r="E107" s="260"/>
      <c r="F107" s="157"/>
      <c r="G107" s="98"/>
      <c r="H107" s="15"/>
      <c r="I107" s="98"/>
      <c r="J107" s="98"/>
      <c r="K107" s="157"/>
      <c r="L107" s="258"/>
      <c r="M107" s="258"/>
      <c r="N107" s="259"/>
    </row>
    <row r="108" spans="2:14" x14ac:dyDescent="0.15">
      <c r="B108" s="64"/>
      <c r="C108" s="15"/>
      <c r="D108" s="98"/>
      <c r="E108" s="260"/>
      <c r="F108" s="157"/>
      <c r="G108" s="98"/>
      <c r="H108" s="15"/>
      <c r="I108" s="98"/>
      <c r="J108" s="98"/>
      <c r="K108" s="157"/>
      <c r="L108" s="258"/>
      <c r="M108" s="258"/>
      <c r="N108" s="259"/>
    </row>
    <row r="109" spans="2:14" x14ac:dyDescent="0.15">
      <c r="B109" s="64"/>
      <c r="C109" s="222" t="s">
        <v>221</v>
      </c>
      <c r="D109" s="94" t="s">
        <v>225</v>
      </c>
      <c r="E109" s="260"/>
      <c r="F109" s="157"/>
      <c r="G109" s="98"/>
      <c r="H109" s="15"/>
      <c r="I109" s="98"/>
      <c r="J109" s="98"/>
      <c r="K109" s="157"/>
      <c r="L109" s="258"/>
      <c r="M109" s="258"/>
      <c r="N109" s="259"/>
    </row>
    <row r="110" spans="2:14" x14ac:dyDescent="0.15">
      <c r="B110" s="64"/>
      <c r="C110" s="223" t="s">
        <v>9</v>
      </c>
      <c r="D110" s="95">
        <f t="shared" ref="D110:D111" si="14">COUNTIF($D$5:$D$69,C110)</f>
        <v>29</v>
      </c>
      <c r="E110" s="260"/>
      <c r="F110" s="157"/>
      <c r="G110" s="98"/>
      <c r="H110" s="15"/>
      <c r="I110" s="98"/>
      <c r="J110" s="98"/>
      <c r="K110" s="157"/>
      <c r="L110" s="258"/>
      <c r="M110" s="258"/>
      <c r="N110" s="259"/>
    </row>
    <row r="111" spans="2:14" x14ac:dyDescent="0.15">
      <c r="B111" s="64"/>
      <c r="C111" s="252" t="s">
        <v>8</v>
      </c>
      <c r="D111" s="96">
        <f t="shared" si="14"/>
        <v>35</v>
      </c>
      <c r="E111" s="260"/>
      <c r="F111" s="157"/>
      <c r="G111" s="98"/>
      <c r="H111" s="15"/>
      <c r="I111" s="98"/>
      <c r="J111" s="98"/>
      <c r="K111" s="157"/>
      <c r="L111" s="258"/>
      <c r="M111" s="258"/>
      <c r="N111" s="259"/>
    </row>
    <row r="112" spans="2:14" x14ac:dyDescent="0.15">
      <c r="B112" s="64"/>
      <c r="C112" s="187" t="s">
        <v>195</v>
      </c>
      <c r="D112" s="181">
        <f>SUM(D110:D111)</f>
        <v>64</v>
      </c>
      <c r="E112" s="260"/>
      <c r="F112" s="157"/>
      <c r="G112" s="98"/>
      <c r="H112" s="15"/>
      <c r="I112" s="98"/>
      <c r="J112" s="98"/>
      <c r="K112" s="157"/>
      <c r="L112" s="258"/>
      <c r="M112" s="258"/>
      <c r="N112" s="259"/>
    </row>
    <row r="113" spans="2:14" x14ac:dyDescent="0.15">
      <c r="B113" s="64"/>
      <c r="C113" s="15"/>
      <c r="D113" s="98"/>
      <c r="E113" s="260"/>
      <c r="F113" s="157"/>
      <c r="G113" s="98"/>
      <c r="H113" s="15"/>
      <c r="I113" s="98"/>
      <c r="J113" s="98"/>
      <c r="K113" s="157"/>
      <c r="L113" s="258"/>
      <c r="M113" s="258"/>
      <c r="N113" s="259"/>
    </row>
    <row r="114" spans="2:14" x14ac:dyDescent="0.15">
      <c r="B114" s="64"/>
      <c r="C114" s="15"/>
      <c r="D114" s="98"/>
      <c r="E114" s="260"/>
      <c r="F114" s="157"/>
      <c r="G114" s="98"/>
      <c r="H114" s="15"/>
      <c r="I114" s="98"/>
      <c r="J114" s="98"/>
      <c r="K114" s="157"/>
      <c r="L114" s="258"/>
      <c r="M114" s="258"/>
      <c r="N114" s="259"/>
    </row>
    <row r="115" spans="2:14" x14ac:dyDescent="0.15">
      <c r="B115" s="64"/>
      <c r="C115" s="15"/>
      <c r="D115" s="98"/>
      <c r="E115" s="260"/>
      <c r="F115" s="157"/>
      <c r="G115" s="98"/>
      <c r="H115" s="15"/>
      <c r="I115" s="98"/>
      <c r="J115" s="98"/>
      <c r="K115" s="157"/>
      <c r="L115" s="258"/>
      <c r="M115" s="258"/>
      <c r="N115" s="259"/>
    </row>
    <row r="116" spans="2:14" ht="16" x14ac:dyDescent="0.2">
      <c r="B116" s="64"/>
      <c r="C116" s="277" t="s">
        <v>188</v>
      </c>
      <c r="D116" s="98"/>
      <c r="E116" s="260"/>
      <c r="F116" s="157"/>
      <c r="G116" s="98"/>
      <c r="H116" s="15"/>
      <c r="I116" s="98"/>
      <c r="J116" s="98"/>
      <c r="K116" s="157"/>
      <c r="L116" s="258"/>
      <c r="M116" s="258"/>
      <c r="N116" s="259"/>
    </row>
    <row r="117" spans="2:14" x14ac:dyDescent="0.15">
      <c r="B117" s="64"/>
      <c r="C117" s="264"/>
      <c r="D117" s="98"/>
      <c r="E117" s="260"/>
      <c r="F117" s="157"/>
      <c r="G117" s="98"/>
      <c r="H117" s="15"/>
      <c r="I117" s="98"/>
      <c r="J117" s="98"/>
      <c r="K117" s="157"/>
      <c r="L117" s="258"/>
      <c r="M117" s="258"/>
      <c r="N117" s="259"/>
    </row>
    <row r="118" spans="2:14" x14ac:dyDescent="0.15">
      <c r="B118" s="64"/>
      <c r="C118" s="264"/>
      <c r="D118" s="98"/>
      <c r="E118" s="260"/>
      <c r="F118" s="157"/>
      <c r="G118" s="98"/>
      <c r="H118" s="15"/>
      <c r="I118" s="98"/>
      <c r="J118" s="98"/>
      <c r="K118" s="157"/>
      <c r="L118" s="258"/>
      <c r="M118" s="258"/>
      <c r="N118" s="259"/>
    </row>
    <row r="119" spans="2:14" x14ac:dyDescent="0.15">
      <c r="B119" s="64"/>
      <c r="C119" s="264"/>
      <c r="D119" s="98"/>
      <c r="E119" s="260"/>
      <c r="F119" s="157"/>
      <c r="G119" s="98"/>
      <c r="H119" s="15"/>
      <c r="I119" s="98"/>
      <c r="J119" s="98"/>
      <c r="K119" s="157"/>
      <c r="L119" s="258"/>
      <c r="M119" s="258"/>
      <c r="N119" s="259"/>
    </row>
    <row r="120" spans="2:14" x14ac:dyDescent="0.15">
      <c r="B120" s="64"/>
      <c r="C120" s="264"/>
      <c r="D120" s="98"/>
      <c r="E120" s="260"/>
      <c r="F120" s="157"/>
      <c r="G120" s="98"/>
      <c r="H120" s="15"/>
      <c r="I120" s="98"/>
      <c r="J120" s="98"/>
      <c r="K120" s="157"/>
      <c r="L120" s="258"/>
      <c r="M120" s="258"/>
      <c r="N120" s="259"/>
    </row>
    <row r="121" spans="2:14" x14ac:dyDescent="0.15">
      <c r="B121" s="64"/>
      <c r="C121" s="15"/>
      <c r="D121" s="98"/>
      <c r="E121" s="260"/>
      <c r="F121" s="157"/>
      <c r="G121" s="98"/>
      <c r="H121" s="15"/>
      <c r="I121" s="98"/>
      <c r="J121" s="98"/>
      <c r="K121" s="157"/>
      <c r="L121" s="258"/>
      <c r="M121" s="258"/>
      <c r="N121" s="259"/>
    </row>
    <row r="122" spans="2:14" x14ac:dyDescent="0.15">
      <c r="B122" s="64"/>
      <c r="C122" s="189" t="s">
        <v>189</v>
      </c>
      <c r="D122" s="192" t="s">
        <v>190</v>
      </c>
      <c r="E122" s="260"/>
      <c r="F122" s="157"/>
      <c r="G122" s="98"/>
      <c r="H122" s="15"/>
      <c r="I122" s="98"/>
      <c r="J122" s="98"/>
      <c r="K122" s="157"/>
      <c r="L122" s="258"/>
      <c r="M122" s="258"/>
      <c r="N122" s="259"/>
    </row>
    <row r="123" spans="2:14" x14ac:dyDescent="0.15">
      <c r="B123" s="64"/>
      <c r="C123" s="190" t="s">
        <v>101</v>
      </c>
      <c r="D123" s="95">
        <f>COUNTIFS(H5:H69,C123)</f>
        <v>28</v>
      </c>
      <c r="E123" s="260"/>
      <c r="F123" s="157"/>
      <c r="G123" s="98"/>
      <c r="H123" s="15"/>
      <c r="I123" s="98"/>
      <c r="J123" s="98"/>
      <c r="K123" s="157"/>
      <c r="L123" s="258"/>
      <c r="M123" s="258"/>
      <c r="N123" s="259"/>
    </row>
    <row r="124" spans="2:14" x14ac:dyDescent="0.15">
      <c r="B124" s="64"/>
      <c r="C124" s="190" t="s">
        <v>102</v>
      </c>
      <c r="D124" s="95">
        <f>COUNTIFS(H6:H70,C124)</f>
        <v>19</v>
      </c>
      <c r="E124" s="260"/>
      <c r="F124" s="157"/>
      <c r="G124" s="98"/>
      <c r="H124" s="15"/>
      <c r="I124" s="98"/>
      <c r="J124" s="98"/>
      <c r="K124" s="157"/>
      <c r="L124" s="258"/>
      <c r="M124" s="258"/>
      <c r="N124" s="259"/>
    </row>
    <row r="125" spans="2:14" x14ac:dyDescent="0.15">
      <c r="B125" s="64"/>
      <c r="C125" s="190" t="s">
        <v>103</v>
      </c>
      <c r="D125" s="95">
        <f>COUNTIFS(H7:H71,C125)</f>
        <v>14</v>
      </c>
      <c r="E125" s="260"/>
      <c r="F125" s="157"/>
      <c r="G125" s="98"/>
      <c r="H125" s="15"/>
      <c r="I125" s="98"/>
      <c r="J125" s="98"/>
      <c r="K125" s="157"/>
      <c r="L125" s="258"/>
      <c r="M125" s="258"/>
      <c r="N125" s="259"/>
    </row>
    <row r="126" spans="2:14" x14ac:dyDescent="0.15">
      <c r="B126" s="64"/>
      <c r="C126" s="190" t="s">
        <v>104</v>
      </c>
      <c r="D126" s="95">
        <f>COUNTIFS(H8:H72,C126)</f>
        <v>4</v>
      </c>
      <c r="E126" s="260"/>
      <c r="F126" s="157"/>
      <c r="G126" s="98"/>
      <c r="H126" s="15"/>
      <c r="I126" s="98"/>
      <c r="J126" s="98"/>
      <c r="K126" s="157"/>
      <c r="L126" s="258"/>
      <c r="M126" s="258"/>
      <c r="N126" s="259"/>
    </row>
    <row r="127" spans="2:14" x14ac:dyDescent="0.15">
      <c r="B127" s="64"/>
      <c r="C127" s="191" t="s">
        <v>195</v>
      </c>
      <c r="D127" s="181">
        <f>SUM(D123:D126)</f>
        <v>65</v>
      </c>
      <c r="E127" s="260"/>
      <c r="F127" s="157"/>
      <c r="G127" s="98"/>
      <c r="H127" s="15"/>
      <c r="I127" s="98"/>
      <c r="J127" s="98"/>
      <c r="K127" s="157"/>
      <c r="L127" s="258"/>
      <c r="M127" s="258"/>
      <c r="N127" s="259"/>
    </row>
    <row r="128" spans="2:14" x14ac:dyDescent="0.15">
      <c r="B128" s="64"/>
      <c r="C128" s="22"/>
      <c r="D128" s="253"/>
      <c r="E128" s="260"/>
      <c r="F128" s="157"/>
      <c r="G128" s="98"/>
      <c r="H128" s="15"/>
      <c r="I128" s="98"/>
      <c r="J128" s="98"/>
      <c r="K128" s="157"/>
      <c r="L128" s="258"/>
      <c r="M128" s="258"/>
      <c r="N128" s="259"/>
    </row>
    <row r="129" spans="2:14" x14ac:dyDescent="0.15">
      <c r="B129" s="64"/>
      <c r="C129" s="22"/>
      <c r="D129" s="253"/>
      <c r="E129" s="260"/>
      <c r="F129" s="157"/>
      <c r="G129" s="98"/>
      <c r="H129" s="15"/>
      <c r="I129" s="98"/>
      <c r="J129" s="98"/>
      <c r="K129" s="157"/>
      <c r="L129" s="258"/>
      <c r="M129" s="258"/>
      <c r="N129" s="259"/>
    </row>
    <row r="130" spans="2:14" x14ac:dyDescent="0.15">
      <c r="B130" s="64"/>
      <c r="C130" s="22"/>
      <c r="D130" s="253"/>
      <c r="E130" s="260"/>
      <c r="F130" s="157"/>
      <c r="G130" s="98"/>
      <c r="H130" s="15"/>
      <c r="I130" s="98"/>
      <c r="J130" s="98"/>
      <c r="K130" s="157"/>
      <c r="L130" s="258"/>
      <c r="M130" s="258"/>
      <c r="N130" s="259"/>
    </row>
    <row r="131" spans="2:14" x14ac:dyDescent="0.15">
      <c r="B131" s="64"/>
      <c r="C131" s="15"/>
      <c r="D131" s="98"/>
      <c r="E131" s="260"/>
      <c r="F131" s="157"/>
      <c r="G131" s="98"/>
      <c r="H131" s="15"/>
      <c r="I131" s="98"/>
      <c r="J131" s="98"/>
      <c r="K131" s="157"/>
      <c r="L131" s="258"/>
      <c r="M131" s="258"/>
      <c r="N131" s="259"/>
    </row>
    <row r="132" spans="2:14" ht="16" x14ac:dyDescent="0.2">
      <c r="B132" s="64"/>
      <c r="C132" s="277" t="s">
        <v>193</v>
      </c>
      <c r="D132" s="265"/>
      <c r="E132" s="260"/>
      <c r="F132" s="157"/>
      <c r="G132" s="98"/>
      <c r="H132" s="15"/>
      <c r="I132" s="98"/>
      <c r="J132" s="98"/>
      <c r="K132" s="157"/>
      <c r="L132" s="258"/>
      <c r="M132" s="258"/>
      <c r="N132" s="259"/>
    </row>
    <row r="133" spans="2:14" x14ac:dyDescent="0.15">
      <c r="B133" s="64"/>
      <c r="C133" s="264"/>
      <c r="D133" s="265"/>
      <c r="E133" s="260"/>
      <c r="F133" s="157"/>
      <c r="G133" s="98"/>
      <c r="H133" s="15"/>
      <c r="I133" s="98"/>
      <c r="J133" s="98"/>
      <c r="K133" s="157"/>
      <c r="L133" s="258"/>
      <c r="M133" s="258"/>
      <c r="N133" s="259"/>
    </row>
    <row r="134" spans="2:14" x14ac:dyDescent="0.15">
      <c r="B134" s="64"/>
      <c r="C134" s="264"/>
      <c r="D134" s="265"/>
      <c r="E134" s="260"/>
      <c r="F134" s="157"/>
      <c r="G134" s="98"/>
      <c r="H134" s="15"/>
      <c r="I134" s="98"/>
      <c r="J134" s="98"/>
      <c r="K134" s="157"/>
      <c r="L134" s="258"/>
      <c r="M134" s="258"/>
      <c r="N134" s="259"/>
    </row>
    <row r="135" spans="2:14" x14ac:dyDescent="0.15">
      <c r="B135" s="64"/>
      <c r="C135" s="264"/>
      <c r="D135" s="265"/>
      <c r="E135" s="260"/>
      <c r="F135" s="157"/>
      <c r="G135" s="98"/>
      <c r="H135" s="15"/>
      <c r="I135" s="98"/>
      <c r="J135" s="98"/>
      <c r="K135" s="157"/>
      <c r="L135" s="258"/>
      <c r="M135" s="258"/>
      <c r="N135" s="259"/>
    </row>
    <row r="136" spans="2:14" x14ac:dyDescent="0.15">
      <c r="B136" s="64"/>
      <c r="C136" s="15"/>
      <c r="D136" s="98"/>
      <c r="E136" s="260"/>
      <c r="F136" s="157"/>
      <c r="G136" s="98"/>
      <c r="H136" s="15"/>
      <c r="I136" s="98"/>
      <c r="J136" s="98"/>
      <c r="K136" s="157"/>
      <c r="L136" s="258"/>
      <c r="M136" s="258"/>
      <c r="N136" s="259"/>
    </row>
    <row r="137" spans="2:14" x14ac:dyDescent="0.15">
      <c r="B137" s="64"/>
      <c r="C137" s="189" t="s">
        <v>5</v>
      </c>
      <c r="D137" s="192" t="s">
        <v>9</v>
      </c>
      <c r="E137" s="194" t="s">
        <v>8</v>
      </c>
      <c r="F137" s="157"/>
      <c r="G137" s="98"/>
      <c r="H137" s="15"/>
      <c r="I137" s="98"/>
      <c r="J137" s="98"/>
      <c r="K137" s="157"/>
      <c r="L137" s="258"/>
      <c r="M137" s="258"/>
      <c r="N137" s="259"/>
    </row>
    <row r="138" spans="2:14" x14ac:dyDescent="0.15">
      <c r="B138" s="64"/>
      <c r="C138" s="190" t="s">
        <v>101</v>
      </c>
      <c r="D138" s="95">
        <f>COUNTIFS($D$6:$D$69,Tableau3[[#Headers],[F]],$H$6:$H$69,C138)</f>
        <v>13</v>
      </c>
      <c r="E138" s="95">
        <f>COUNTIFS($H$6:$H$69,Tableau3[[#This Row],[Statut]],$D$6:$D$69,Tableau3[[#Headers],[M]])</f>
        <v>15</v>
      </c>
      <c r="F138" s="157"/>
      <c r="G138" s="98"/>
      <c r="H138" s="15"/>
      <c r="I138" s="98"/>
      <c r="J138" s="98"/>
      <c r="K138" s="157"/>
      <c r="L138" s="258"/>
      <c r="M138" s="258"/>
      <c r="N138" s="259"/>
    </row>
    <row r="139" spans="2:14" x14ac:dyDescent="0.15">
      <c r="B139" s="64"/>
      <c r="C139" s="190" t="s">
        <v>102</v>
      </c>
      <c r="D139" s="95">
        <f>COUNTIFS($D$6:$D$69,Tableau3[[#Headers],[F]],$H$6:$H$69,C139)</f>
        <v>11</v>
      </c>
      <c r="E139" s="95">
        <f>COUNTIFS($H$6:$H$69,Tableau3[[#This Row],[Statut]],$D$6:$D$69,Tableau3[[#Headers],[M]])</f>
        <v>8</v>
      </c>
      <c r="F139" s="157"/>
      <c r="G139" s="98"/>
      <c r="H139" s="15"/>
      <c r="I139" s="98"/>
      <c r="J139" s="98"/>
      <c r="K139" s="157"/>
      <c r="L139" s="258"/>
      <c r="M139" s="258"/>
      <c r="N139" s="259"/>
    </row>
    <row r="140" spans="2:14" x14ac:dyDescent="0.15">
      <c r="B140" s="64"/>
      <c r="C140" s="190" t="s">
        <v>103</v>
      </c>
      <c r="D140" s="95">
        <f>COUNTIFS($D$6:$D$69,Tableau3[[#Headers],[F]],$H$6:$H$69,C140)</f>
        <v>4</v>
      </c>
      <c r="E140" s="95">
        <f>COUNTIFS($H$6:$H$69,Tableau3[[#This Row],[Statut]],$D$6:$D$69,Tableau3[[#Headers],[M]])</f>
        <v>9</v>
      </c>
      <c r="F140" s="157"/>
      <c r="G140" s="98"/>
      <c r="H140" s="15"/>
      <c r="I140" s="98"/>
      <c r="J140" s="98"/>
      <c r="K140" s="157"/>
      <c r="L140" s="258"/>
      <c r="M140" s="258"/>
      <c r="N140" s="259"/>
    </row>
    <row r="141" spans="2:14" x14ac:dyDescent="0.15">
      <c r="B141" s="64"/>
      <c r="C141" s="190" t="s">
        <v>104</v>
      </c>
      <c r="D141" s="95">
        <f>COUNTIFS($D$6:$D$69,Tableau3[[#Headers],[F]],$H$6:$H$69,C141)</f>
        <v>1</v>
      </c>
      <c r="E141" s="95">
        <f>COUNTIFS($H$6:$H$69,Tableau3[[#This Row],[Statut]],$D$6:$D$69,Tableau3[[#Headers],[M]])</f>
        <v>3</v>
      </c>
      <c r="F141" s="157"/>
      <c r="G141" s="98"/>
      <c r="H141" s="15"/>
      <c r="I141" s="98"/>
      <c r="J141" s="98"/>
      <c r="K141" s="157"/>
      <c r="L141" s="258"/>
      <c r="M141" s="258"/>
      <c r="N141" s="259"/>
    </row>
    <row r="142" spans="2:14" x14ac:dyDescent="0.15">
      <c r="B142" s="64"/>
      <c r="C142" s="187" t="s">
        <v>195</v>
      </c>
      <c r="D142" s="196">
        <f>SUM(D138:D141)</f>
        <v>29</v>
      </c>
      <c r="E142" s="172">
        <f>SUM(E138:E141)</f>
        <v>35</v>
      </c>
      <c r="F142" s="157"/>
      <c r="G142" s="98"/>
      <c r="H142" s="15"/>
      <c r="I142" s="98"/>
      <c r="J142" s="98"/>
      <c r="K142" s="157"/>
      <c r="L142" s="258"/>
      <c r="M142" s="258"/>
      <c r="N142" s="259"/>
    </row>
    <row r="143" spans="2:14" x14ac:dyDescent="0.15">
      <c r="B143" s="64"/>
      <c r="C143" s="15"/>
      <c r="D143" s="98"/>
      <c r="E143" s="260"/>
      <c r="F143" s="157"/>
      <c r="G143" s="98"/>
      <c r="H143" s="15"/>
      <c r="I143" s="98"/>
      <c r="J143" s="98"/>
      <c r="K143" s="157"/>
      <c r="L143" s="258"/>
      <c r="M143" s="258"/>
      <c r="N143" s="259"/>
    </row>
    <row r="144" spans="2:14" x14ac:dyDescent="0.15">
      <c r="B144" s="64"/>
      <c r="C144" s="15"/>
      <c r="D144" s="98"/>
      <c r="E144" s="260"/>
      <c r="F144" s="157"/>
      <c r="G144" s="98"/>
      <c r="H144" s="15"/>
      <c r="I144" s="98"/>
      <c r="J144" s="98"/>
      <c r="K144" s="157"/>
      <c r="L144" s="258"/>
      <c r="M144" s="258"/>
      <c r="N144" s="259"/>
    </row>
    <row r="145" spans="2:25" x14ac:dyDescent="0.15">
      <c r="B145" s="64"/>
      <c r="C145" s="15"/>
      <c r="D145" s="98"/>
      <c r="E145" s="260"/>
      <c r="F145" s="157"/>
      <c r="G145" s="98"/>
      <c r="H145" s="15"/>
      <c r="I145" s="98"/>
      <c r="J145" s="98"/>
      <c r="K145" s="157"/>
      <c r="L145" s="258"/>
      <c r="M145" s="258"/>
      <c r="N145" s="259"/>
    </row>
    <row r="146" spans="2:25" x14ac:dyDescent="0.15">
      <c r="B146" s="64"/>
      <c r="C146" s="15"/>
      <c r="D146" s="98"/>
      <c r="E146" s="260"/>
      <c r="F146" s="157"/>
      <c r="G146" s="98"/>
      <c r="H146" s="15"/>
      <c r="I146" s="98"/>
      <c r="J146" s="98"/>
      <c r="K146" s="157"/>
      <c r="L146" s="258"/>
      <c r="M146" s="258"/>
      <c r="N146" s="259"/>
    </row>
    <row r="147" spans="2:25" ht="16" x14ac:dyDescent="0.2">
      <c r="B147" s="64"/>
      <c r="C147" s="277" t="s">
        <v>200</v>
      </c>
      <c r="D147" s="265"/>
      <c r="E147" s="260"/>
      <c r="F147" s="157"/>
      <c r="G147" s="98"/>
      <c r="H147" s="15"/>
      <c r="I147" s="98"/>
      <c r="J147" s="98"/>
      <c r="K147" s="157"/>
      <c r="L147" s="258"/>
      <c r="M147" s="258"/>
      <c r="N147" s="259"/>
    </row>
    <row r="148" spans="2:25" x14ac:dyDescent="0.15">
      <c r="B148" s="64"/>
      <c r="C148" s="264"/>
      <c r="D148" s="265"/>
      <c r="E148" s="260"/>
      <c r="F148" s="157"/>
      <c r="G148" s="98"/>
      <c r="H148" s="15"/>
      <c r="I148" s="98"/>
      <c r="J148" s="98"/>
      <c r="K148" s="157"/>
      <c r="L148" s="258"/>
      <c r="M148" s="258"/>
      <c r="N148" s="259"/>
    </row>
    <row r="149" spans="2:25" ht="16" x14ac:dyDescent="0.2">
      <c r="B149" s="64"/>
      <c r="C149" s="182"/>
      <c r="D149" s="107"/>
      <c r="E149" s="283" t="s">
        <v>194</v>
      </c>
      <c r="F149" s="284"/>
      <c r="G149" s="283" t="s">
        <v>197</v>
      </c>
      <c r="H149" s="284"/>
      <c r="I149" s="283" t="s">
        <v>103</v>
      </c>
      <c r="J149" s="284"/>
      <c r="K149" s="288" t="s">
        <v>191</v>
      </c>
      <c r="L149" s="289"/>
      <c r="M149" s="258"/>
      <c r="N149" s="259"/>
    </row>
    <row r="150" spans="2:25" x14ac:dyDescent="0.15">
      <c r="B150" s="64"/>
      <c r="C150" s="183" t="s">
        <v>184</v>
      </c>
      <c r="D150" s="184" t="s">
        <v>196</v>
      </c>
      <c r="E150" s="173" t="s">
        <v>101</v>
      </c>
      <c r="F150" s="166" t="s">
        <v>194</v>
      </c>
      <c r="G150" s="167" t="s">
        <v>102</v>
      </c>
      <c r="H150" s="168" t="s">
        <v>197</v>
      </c>
      <c r="I150" s="169" t="s">
        <v>103</v>
      </c>
      <c r="J150" s="170" t="s">
        <v>198</v>
      </c>
      <c r="K150" s="169" t="s">
        <v>104</v>
      </c>
      <c r="L150" s="170" t="s">
        <v>191</v>
      </c>
      <c r="M150" s="258"/>
      <c r="N150" s="259"/>
      <c r="O150" s="4"/>
      <c r="Y150" s="112"/>
    </row>
    <row r="151" spans="2:25" x14ac:dyDescent="0.15">
      <c r="B151" s="64"/>
      <c r="C151" s="182"/>
      <c r="D151" s="204"/>
      <c r="E151" s="203" t="s">
        <v>9</v>
      </c>
      <c r="F151" s="175" t="s">
        <v>8</v>
      </c>
      <c r="G151" s="176" t="s">
        <v>9</v>
      </c>
      <c r="H151" s="177" t="s">
        <v>8</v>
      </c>
      <c r="I151" s="178" t="s">
        <v>9</v>
      </c>
      <c r="J151" s="177" t="s">
        <v>8</v>
      </c>
      <c r="K151" s="178" t="s">
        <v>9</v>
      </c>
      <c r="L151" s="174" t="s">
        <v>8</v>
      </c>
      <c r="M151" s="258"/>
      <c r="N151" s="259"/>
      <c r="O151" s="4"/>
      <c r="Y151" s="112"/>
    </row>
    <row r="152" spans="2:25" ht="15.75" customHeight="1" x14ac:dyDescent="0.15">
      <c r="B152" s="64"/>
      <c r="C152" s="185">
        <v>1</v>
      </c>
      <c r="D152" s="205" t="str">
        <f>Y6</f>
        <v xml:space="preserve">inferieur à 20 ans </v>
      </c>
      <c r="E152" s="154">
        <f>COUNTIFS($D$6:$D$69,$E$151,$H$6:$H$69,Tableau6[[#Headers],[Ouvrier]],$T$6:$T$69,C152)</f>
        <v>0</v>
      </c>
      <c r="F152" s="94">
        <f>COUNTIFS($D$6:$D$69,$F$151,$H$6:$H$69,Tableau6[[#Headers],[Ouvrier]],$T$6:$T$69,$C152)</f>
        <v>0</v>
      </c>
      <c r="G152" s="94">
        <f>COUNTIFS($D$6:$D$69,G151,$H$6:$H$69,Tableau6[[#Headers],[Employé]],$T$6:$T$69,$C152)</f>
        <v>0</v>
      </c>
      <c r="H152" s="94">
        <f>COUNTIFS($D$6:$D$69,H$151,$H$6:$H$69,Tableau6[[#Headers],[Employé]],$T$6:$T$69,$C152)</f>
        <v>0</v>
      </c>
      <c r="I152" s="94">
        <f>COUNTIFS($D$6:$D$69,I$151,$H$6:$H$69,Tableau6[[#Headers],[Cadre]],$T$6:$T$69,$C152)</f>
        <v>0</v>
      </c>
      <c r="J152" s="94">
        <f>COUNTIFS($D$6:$D$69,J$151,$H$6:$H$69,Tableau6[[#Headers],[Cadre]],$T$6:$T$69,$C152)</f>
        <v>0</v>
      </c>
      <c r="K152" s="105">
        <f>COUNTIFS($D$6:$D$69,K$151,$H$6:$H$69,Tableau6[[#Headers],[Directeur]],$T$6:$T$69,$C152)</f>
        <v>0</v>
      </c>
      <c r="L152" s="107">
        <f>COUNTIFS($D$6:$D$69,L$151,$H$6:$H$69,Tableau6[[#Headers],[Directeur]],$T$6:$T$69,$C152)</f>
        <v>0</v>
      </c>
      <c r="M152" s="258"/>
      <c r="N152" s="259"/>
      <c r="O152" s="4"/>
      <c r="Y152" s="112"/>
    </row>
    <row r="153" spans="2:25" ht="15" customHeight="1" x14ac:dyDescent="0.15">
      <c r="B153" s="64"/>
      <c r="C153" s="185">
        <v>2</v>
      </c>
      <c r="D153" s="205" t="str">
        <f t="shared" ref="D153:D156" si="15">Y7</f>
        <v>de 20 ans à 30ans</v>
      </c>
      <c r="E153" s="98">
        <f>COUNTIFS($D$6:$D$69,$E$151,$H$6:$H$69,Tableau6[[#Headers],[Ouvrier]],$T$6:$T$69,C153)</f>
        <v>3</v>
      </c>
      <c r="F153" s="95">
        <f>COUNTIFS($D$6:$D$69,$F$151,$H$6:$H$69,Tableau6[[#Headers],[Ouvrier]],$T$6:$T$69,$C153)</f>
        <v>4</v>
      </c>
      <c r="G153" s="95">
        <f>COUNTIFS($D$6:$D$69,G151,$H$6:$H$69,Tableau6[[#Headers],[Employé]],$T$6:$T$69,$C153)</f>
        <v>3</v>
      </c>
      <c r="H153" s="95">
        <f>COUNTIFS($D$6:$D$69,H$151,$H$6:$H$69,Tableau6[[#Headers],[Employé]],$T$6:$T$69,$C153)</f>
        <v>3</v>
      </c>
      <c r="I153" s="95">
        <f>COUNTIFS($D$6:$D$69,I$151,$H$6:$H$69,Tableau6[[#Headers],[Cadre]],$T$6:$T$69,$C153)</f>
        <v>1</v>
      </c>
      <c r="J153" s="95">
        <f>COUNTIFS($D$6:$D$69,J$151,$H$6:$H$69,Tableau6[[#Headers],[Cadre]],$T$6:$T$69,$C153)</f>
        <v>3</v>
      </c>
      <c r="K153" s="155">
        <f>COUNTIFS($D$6:$D$69,K$151,$H$6:$H$69,Tableau6[[#Headers],[Directeur]],$T$6:$T$69,$C153)</f>
        <v>0</v>
      </c>
      <c r="L153" s="99">
        <f>COUNTIFS($D$6:$D$69,L$151,$H$6:$H$69,Tableau6[[#Headers],[Directeur]],$T$6:$T$69,$C153)</f>
        <v>0</v>
      </c>
      <c r="M153" s="258"/>
      <c r="N153" s="259"/>
      <c r="O153" s="4"/>
      <c r="Y153" s="112"/>
    </row>
    <row r="154" spans="2:25" ht="16.5" customHeight="1" x14ac:dyDescent="0.15">
      <c r="B154" s="64"/>
      <c r="C154" s="186">
        <v>3</v>
      </c>
      <c r="D154" s="205" t="str">
        <f t="shared" si="15"/>
        <v>de 30 ans à 45ans</v>
      </c>
      <c r="E154" s="98">
        <f>COUNTIFS($D$6:$D$69,$E$151,$H$6:$H$69,Tableau6[[#Headers],[Ouvrier]],$T$6:$T$69,C154)</f>
        <v>6</v>
      </c>
      <c r="F154" s="95">
        <f>COUNTIFS($D$6:$D$69,$F$151,$H$6:$H$69,Tableau6[[#Headers],[Ouvrier]],$T$6:$T$69,$C154)</f>
        <v>8</v>
      </c>
      <c r="G154" s="95">
        <f>COUNTIFS($D$6:$D$69,G$151,$H$6:$H$69,Tableau6[[#Headers],[Employé]],$T$6:$T$69,$C154)</f>
        <v>6</v>
      </c>
      <c r="H154" s="95">
        <f>COUNTIFS($D$6:$D$69,H$151,$H$6:$H$69,Tableau6[[#Headers],[Employé]],$T$6:$T$69,$C154)</f>
        <v>5</v>
      </c>
      <c r="I154" s="95">
        <f>COUNTIFS($D$6:$D$69,I$151,$H$6:$H$69,Tableau6[[#Headers],[Cadre]],$T$6:$T$69,$C154)</f>
        <v>2</v>
      </c>
      <c r="J154" s="95">
        <f>COUNTIFS($D$6:$D$69,J$151,$H$6:$H$69,Tableau6[[#Headers],[Cadre]],$T$6:$T$69,$C154)</f>
        <v>3</v>
      </c>
      <c r="K154" s="155">
        <f>COUNTIFS($D$6:$D$69,K$151,$H$6:$H$69,Tableau6[[#Headers],[Directeur]],$T$6:$T$69,$C154)</f>
        <v>1</v>
      </c>
      <c r="L154" s="99">
        <f>COUNTIFS($D$6:$D$69,L$151,$H$6:$H$69,Tableau6[[#Headers],[Directeur]],$T$6:$T$69,$C154)</f>
        <v>2</v>
      </c>
      <c r="M154" s="258"/>
      <c r="N154" s="259"/>
      <c r="O154" s="4"/>
      <c r="Y154" s="112"/>
    </row>
    <row r="155" spans="2:25" ht="18" customHeight="1" x14ac:dyDescent="0.15">
      <c r="B155" s="64"/>
      <c r="C155" s="186">
        <v>4</v>
      </c>
      <c r="D155" s="205" t="str">
        <f t="shared" si="15"/>
        <v>de 45 ans à 50ans</v>
      </c>
      <c r="E155" s="98">
        <f>COUNTIFS($D$6:$D$69,$E$151,$H$6:$H$69,Tableau6[[#Headers],[Ouvrier]],$T$6:$T$69,C155)</f>
        <v>0</v>
      </c>
      <c r="F155" s="95">
        <f>COUNTIFS($D$6:$D$69,$F$151,$H$6:$H$69,Tableau6[[#Headers],[Ouvrier]],$T$6:$T$69,$C155)</f>
        <v>0</v>
      </c>
      <c r="G155" s="95">
        <f>COUNTIFS($D$6:$D$69,G$151,$H$6:$H$69,Tableau6[[#Headers],[Employé]],$T$6:$T$69,$C155)</f>
        <v>1</v>
      </c>
      <c r="H155" s="95">
        <f>COUNTIFS($D$6:$D$69,H$151,$H$6:$H$69,Tableau6[[#Headers],[Employé]],$T$6:$T$69,$C155)</f>
        <v>0</v>
      </c>
      <c r="I155" s="95">
        <f>COUNTIFS($D$6:$D$69,I$151,$H$6:$H$69,Tableau6[[#Headers],[Cadre]],$T$6:$T$69,$C155)</f>
        <v>0</v>
      </c>
      <c r="J155" s="95">
        <f>COUNTIFS($D$6:$D$69,J$151,$H$6:$H$69,Tableau6[[#Headers],[Cadre]],$T$6:$T$69,$C155)</f>
        <v>2</v>
      </c>
      <c r="K155" s="155">
        <f>COUNTIFS($D$6:$D$69,K$151,$H$6:$H$69,Tableau6[[#Headers],[Directeur]],$T$6:$T$69,$C155)</f>
        <v>0</v>
      </c>
      <c r="L155" s="99">
        <f>COUNTIFS($D$6:$D$69,L$151,$H$6:$H$69,Tableau6[[#Headers],[Directeur]],$T$6:$T$69,$C155)</f>
        <v>0</v>
      </c>
      <c r="M155" s="258"/>
      <c r="N155" s="259"/>
      <c r="O155" s="4"/>
      <c r="Y155" s="112"/>
    </row>
    <row r="156" spans="2:25" ht="20.25" customHeight="1" x14ac:dyDescent="0.15">
      <c r="B156" s="64"/>
      <c r="C156" s="206">
        <v>5</v>
      </c>
      <c r="D156" s="207" t="str">
        <f t="shared" si="15"/>
        <v xml:space="preserve">superieur à 50 ans </v>
      </c>
      <c r="E156" s="100">
        <f>COUNTIFS($D$6:$D$69,$E$151,$H$6:$H$69,Tableau6[[#Headers],[Ouvrier]],$T$6:$T$69,C156)</f>
        <v>4</v>
      </c>
      <c r="F156" s="96">
        <f>COUNTIFS($D$6:$D$69,$F$151,$H$6:$H$69,Tableau6[[#Headers],[Ouvrier]],$T$6:$T$69,$C156)</f>
        <v>3</v>
      </c>
      <c r="G156" s="95">
        <f>COUNTIFS($D$6:$D$69,G$151,$H$6:$H$69,Tableau6[[#Headers],[Employé]],$T$6:$T$69,$C156)</f>
        <v>1</v>
      </c>
      <c r="H156" s="95">
        <f>COUNTIFS($D$6:$D$69,H$151,$H$6:$H$69,Tableau6[[#Headers],[Employé]],$T$6:$T$69,$C156)</f>
        <v>0</v>
      </c>
      <c r="I156" s="95">
        <f>COUNTIFS($D$6:$D$69,I$151,$H$6:$H$69,Tableau6[[#Headers],[Cadre]],$T$6:$T$69,$C156)</f>
        <v>1</v>
      </c>
      <c r="J156" s="95">
        <f>COUNTIFS($D$6:$D$69,J$151,$H$6:$H$69,Tableau6[[#Headers],[Cadre]],$T$6:$T$69,$C156)</f>
        <v>1</v>
      </c>
      <c r="K156" s="106">
        <f>COUNTIFS($D$6:$D$69,K$151,$H$6:$H$69,Tableau6[[#Headers],[Directeur]],$T$6:$T$69,$C156)</f>
        <v>0</v>
      </c>
      <c r="L156" s="101">
        <f>COUNTIFS($D$6:$D$69,L$151,$H$6:$H$69,Tableau6[[#Headers],[Directeur]],$T$6:$T$69,$C156)</f>
        <v>1</v>
      </c>
      <c r="M156" s="258"/>
      <c r="N156" s="259"/>
      <c r="O156" s="4"/>
      <c r="Y156" s="112"/>
    </row>
    <row r="157" spans="2:25" x14ac:dyDescent="0.15">
      <c r="B157" s="64"/>
      <c r="C157" s="14"/>
      <c r="D157" s="202" t="s">
        <v>199</v>
      </c>
      <c r="E157" s="179">
        <f>SUM(E152:E156)</f>
        <v>13</v>
      </c>
      <c r="F157" s="179">
        <f>SUM(F152:F156)</f>
        <v>15</v>
      </c>
      <c r="G157" s="180">
        <f t="shared" ref="G157:H157" si="16">SUM(G152:G156)</f>
        <v>11</v>
      </c>
      <c r="H157" s="180">
        <f t="shared" si="16"/>
        <v>8</v>
      </c>
      <c r="I157" s="180">
        <f t="shared" ref="I157" si="17">SUM(I152:I156)</f>
        <v>4</v>
      </c>
      <c r="J157" s="180">
        <f t="shared" ref="J157" si="18">SUM(J152:J156)</f>
        <v>9</v>
      </c>
      <c r="K157" s="180">
        <f t="shared" ref="K157" si="19">SUM(K152:K156)</f>
        <v>1</v>
      </c>
      <c r="L157" s="171">
        <f t="shared" ref="L157" si="20">SUM(L152:L156)</f>
        <v>3</v>
      </c>
      <c r="M157" s="208" t="s">
        <v>195</v>
      </c>
      <c r="N157" s="259"/>
    </row>
    <row r="158" spans="2:25" x14ac:dyDescent="0.15">
      <c r="B158" s="64"/>
      <c r="C158" s="18"/>
      <c r="D158" s="181" t="s">
        <v>195</v>
      </c>
      <c r="E158" s="285">
        <f>SUM(E157:F157)</f>
        <v>28</v>
      </c>
      <c r="F158" s="286"/>
      <c r="G158" s="285">
        <f>SUM(G157:H157)</f>
        <v>19</v>
      </c>
      <c r="H158" s="286"/>
      <c r="I158" s="285">
        <f t="shared" ref="I158" si="21">SUM(I157:J157)</f>
        <v>13</v>
      </c>
      <c r="J158" s="286"/>
      <c r="K158" s="285">
        <f t="shared" ref="K158" si="22">SUM(K157:L157)</f>
        <v>4</v>
      </c>
      <c r="L158" s="287"/>
      <c r="M158" s="179">
        <f>SUM(E158:L158)</f>
        <v>64</v>
      </c>
      <c r="N158" s="259"/>
    </row>
    <row r="159" spans="2:25" x14ac:dyDescent="0.15">
      <c r="B159" s="64"/>
      <c r="C159" s="15"/>
      <c r="D159" s="98"/>
      <c r="E159" s="260"/>
      <c r="F159" s="157"/>
      <c r="G159" s="98"/>
      <c r="H159" s="15"/>
      <c r="I159" s="98"/>
      <c r="J159" s="98"/>
      <c r="K159" s="157"/>
      <c r="L159" s="258"/>
      <c r="M159" s="258"/>
      <c r="N159" s="259"/>
    </row>
    <row r="160" spans="2:25" x14ac:dyDescent="0.15">
      <c r="B160" s="64"/>
      <c r="C160" s="15"/>
      <c r="D160" s="98"/>
      <c r="E160" s="260"/>
      <c r="F160" s="157"/>
      <c r="G160" s="98"/>
      <c r="H160" s="15"/>
      <c r="I160" s="98"/>
      <c r="J160" s="98"/>
      <c r="K160" s="157"/>
      <c r="L160" s="258"/>
      <c r="M160" s="258"/>
      <c r="N160" s="259"/>
    </row>
    <row r="161" spans="2:14" x14ac:dyDescent="0.15">
      <c r="B161" s="64"/>
      <c r="C161" s="15"/>
      <c r="D161" s="98"/>
      <c r="E161" s="260"/>
      <c r="F161" s="157"/>
      <c r="G161" s="98"/>
      <c r="H161" s="15"/>
      <c r="I161" s="98"/>
      <c r="J161" s="98"/>
      <c r="K161" s="157"/>
      <c r="L161" s="258"/>
      <c r="M161" s="258"/>
      <c r="N161" s="259"/>
    </row>
    <row r="162" spans="2:14" x14ac:dyDescent="0.15">
      <c r="B162" s="64"/>
      <c r="C162" s="15"/>
      <c r="D162" s="98"/>
      <c r="E162" s="260"/>
      <c r="F162" s="157"/>
      <c r="G162" s="98"/>
      <c r="H162" s="15"/>
      <c r="I162" s="98"/>
      <c r="J162" s="98"/>
      <c r="K162" s="157"/>
      <c r="L162" s="258"/>
      <c r="M162" s="258"/>
      <c r="N162" s="259"/>
    </row>
    <row r="163" spans="2:14" x14ac:dyDescent="0.15">
      <c r="B163" s="64"/>
      <c r="C163" s="15"/>
      <c r="D163" s="98"/>
      <c r="E163" s="260"/>
      <c r="F163" s="157"/>
      <c r="G163" s="98"/>
      <c r="H163" s="15"/>
      <c r="I163" s="98"/>
      <c r="J163" s="98"/>
      <c r="K163" s="157"/>
      <c r="L163" s="258"/>
      <c r="M163" s="258"/>
      <c r="N163" s="259"/>
    </row>
    <row r="164" spans="2:14" x14ac:dyDescent="0.15">
      <c r="B164" s="64"/>
      <c r="C164" s="15"/>
      <c r="D164" s="98"/>
      <c r="E164" s="260"/>
      <c r="F164" s="157"/>
      <c r="G164" s="98"/>
      <c r="H164" s="15"/>
      <c r="I164" s="98"/>
      <c r="J164" s="98"/>
      <c r="K164" s="157"/>
      <c r="L164" s="258"/>
      <c r="M164" s="258"/>
      <c r="N164" s="259"/>
    </row>
    <row r="165" spans="2:14" x14ac:dyDescent="0.15">
      <c r="B165" s="64"/>
      <c r="C165" s="15"/>
      <c r="D165" s="98"/>
      <c r="E165" s="260"/>
      <c r="F165" s="157"/>
      <c r="G165" s="98"/>
      <c r="H165" s="15"/>
      <c r="I165" s="98"/>
      <c r="J165" s="98"/>
      <c r="K165" s="157"/>
      <c r="L165" s="258"/>
      <c r="M165" s="258"/>
      <c r="N165" s="259"/>
    </row>
    <row r="166" spans="2:14" x14ac:dyDescent="0.15">
      <c r="B166" s="64"/>
      <c r="C166" s="15"/>
      <c r="D166" s="98"/>
      <c r="E166" s="260"/>
      <c r="F166" s="157"/>
      <c r="G166" s="98"/>
      <c r="H166" s="15"/>
      <c r="I166" s="98"/>
      <c r="J166" s="98"/>
      <c r="K166" s="157"/>
      <c r="L166" s="258"/>
      <c r="M166" s="258"/>
      <c r="N166" s="259"/>
    </row>
    <row r="167" spans="2:14" x14ac:dyDescent="0.15">
      <c r="B167" s="64"/>
      <c r="C167" s="15"/>
      <c r="D167" s="98"/>
      <c r="E167" s="260"/>
      <c r="F167" s="157"/>
      <c r="G167" s="98"/>
      <c r="H167" s="15"/>
      <c r="I167" s="98"/>
      <c r="J167" s="98"/>
      <c r="K167" s="157"/>
      <c r="L167" s="258"/>
      <c r="M167" s="258"/>
      <c r="N167" s="259"/>
    </row>
    <row r="168" spans="2:14" x14ac:dyDescent="0.15">
      <c r="B168" s="64"/>
      <c r="C168" s="15"/>
      <c r="D168" s="98"/>
      <c r="E168" s="260"/>
      <c r="F168" s="157"/>
      <c r="G168" s="98"/>
      <c r="H168" s="15"/>
      <c r="I168" s="98"/>
      <c r="J168" s="98"/>
      <c r="K168" s="157"/>
      <c r="L168" s="258"/>
      <c r="M168" s="258"/>
      <c r="N168" s="259"/>
    </row>
    <row r="169" spans="2:14" x14ac:dyDescent="0.15">
      <c r="B169" s="64"/>
      <c r="C169" s="15"/>
      <c r="D169" s="98"/>
      <c r="E169" s="260"/>
      <c r="F169" s="157"/>
      <c r="G169" s="98"/>
      <c r="H169" s="15"/>
      <c r="I169" s="98"/>
      <c r="J169" s="98"/>
      <c r="K169" s="157"/>
      <c r="L169" s="258"/>
      <c r="M169" s="258"/>
      <c r="N169" s="259"/>
    </row>
    <row r="170" spans="2:14" x14ac:dyDescent="0.15">
      <c r="B170" s="64"/>
      <c r="C170" s="15"/>
      <c r="D170" s="98"/>
      <c r="E170" s="260"/>
      <c r="F170" s="157"/>
      <c r="G170" s="98"/>
      <c r="H170" s="15"/>
      <c r="I170" s="98"/>
      <c r="J170" s="98"/>
      <c r="K170" s="157"/>
      <c r="L170" s="258"/>
      <c r="M170" s="258"/>
      <c r="N170" s="259"/>
    </row>
    <row r="171" spans="2:14" x14ac:dyDescent="0.15">
      <c r="B171" s="64"/>
      <c r="C171" s="15"/>
      <c r="D171" s="98"/>
      <c r="E171" s="260"/>
      <c r="F171" s="157"/>
      <c r="G171" s="98"/>
      <c r="H171" s="15"/>
      <c r="I171" s="98"/>
      <c r="J171" s="98"/>
      <c r="K171" s="157"/>
      <c r="L171" s="258"/>
      <c r="M171" s="258"/>
      <c r="N171" s="259"/>
    </row>
    <row r="172" spans="2:14" x14ac:dyDescent="0.15">
      <c r="B172" s="64"/>
      <c r="C172" s="15"/>
      <c r="D172" s="98"/>
      <c r="E172" s="260"/>
      <c r="F172" s="157"/>
      <c r="G172" s="98"/>
      <c r="H172" s="15"/>
      <c r="I172" s="98"/>
      <c r="J172" s="98"/>
      <c r="K172" s="157"/>
      <c r="L172" s="258"/>
      <c r="M172" s="258"/>
      <c r="N172" s="259"/>
    </row>
    <row r="173" spans="2:14" x14ac:dyDescent="0.15">
      <c r="B173" s="64"/>
      <c r="C173" s="15"/>
      <c r="D173" s="98"/>
      <c r="E173" s="260"/>
      <c r="F173" s="157"/>
      <c r="G173" s="98"/>
      <c r="H173" s="15"/>
      <c r="I173" s="98"/>
      <c r="J173" s="98"/>
      <c r="K173" s="157"/>
      <c r="L173" s="258"/>
      <c r="M173" s="258"/>
      <c r="N173" s="259"/>
    </row>
    <row r="174" spans="2:14" x14ac:dyDescent="0.15">
      <c r="B174" s="64"/>
      <c r="C174" s="15"/>
      <c r="D174" s="98"/>
      <c r="E174" s="260"/>
      <c r="F174" s="157"/>
      <c r="G174" s="98"/>
      <c r="H174" s="15"/>
      <c r="I174" s="98"/>
      <c r="J174" s="98"/>
      <c r="K174" s="157"/>
      <c r="L174" s="258"/>
      <c r="M174" s="258"/>
      <c r="N174" s="259"/>
    </row>
    <row r="175" spans="2:14" x14ac:dyDescent="0.15">
      <c r="B175" s="64"/>
      <c r="C175" s="15"/>
      <c r="D175" s="98"/>
      <c r="E175" s="260"/>
      <c r="F175" s="157"/>
      <c r="G175" s="98"/>
      <c r="H175" s="15"/>
      <c r="I175" s="98"/>
      <c r="J175" s="98"/>
      <c r="K175" s="157"/>
      <c r="L175" s="258"/>
      <c r="M175" s="258"/>
      <c r="N175" s="259"/>
    </row>
    <row r="176" spans="2:14" x14ac:dyDescent="0.15">
      <c r="B176" s="64"/>
      <c r="C176" s="15"/>
      <c r="D176" s="98"/>
      <c r="E176" s="260"/>
      <c r="F176" s="157"/>
      <c r="G176" s="98"/>
      <c r="H176" s="15"/>
      <c r="I176" s="98"/>
      <c r="J176" s="98"/>
      <c r="K176" s="157"/>
      <c r="L176" s="258"/>
      <c r="M176" s="258"/>
      <c r="N176" s="259"/>
    </row>
    <row r="177" spans="2:14" ht="16" x14ac:dyDescent="0.2">
      <c r="B177" s="64"/>
      <c r="C177" s="277" t="s">
        <v>249</v>
      </c>
      <c r="D177" s="98"/>
      <c r="E177" s="260"/>
      <c r="F177" s="157"/>
      <c r="G177" s="98"/>
      <c r="H177" s="15"/>
      <c r="I177" s="98"/>
      <c r="J177" s="98"/>
      <c r="K177" s="157"/>
      <c r="L177" s="258"/>
      <c r="M177" s="258"/>
      <c r="N177" s="259"/>
    </row>
    <row r="178" spans="2:14" x14ac:dyDescent="0.15">
      <c r="B178" s="64"/>
      <c r="C178" s="15"/>
      <c r="D178" s="98"/>
      <c r="E178" s="260"/>
      <c r="F178" s="157"/>
      <c r="G178" s="98"/>
      <c r="H178" s="15"/>
      <c r="I178" s="98"/>
      <c r="J178" s="98"/>
      <c r="K178" s="157"/>
      <c r="L178" s="258"/>
      <c r="M178" s="258"/>
      <c r="N178" s="259"/>
    </row>
    <row r="179" spans="2:14" x14ac:dyDescent="0.15">
      <c r="B179" s="64"/>
      <c r="C179" s="15"/>
      <c r="D179" s="98"/>
      <c r="E179" s="260"/>
      <c r="F179" s="157"/>
      <c r="G179" s="98"/>
      <c r="H179" s="15"/>
      <c r="I179" s="98"/>
      <c r="J179" s="98"/>
      <c r="K179" s="157"/>
      <c r="L179" s="258"/>
      <c r="M179" s="258"/>
      <c r="N179" s="259"/>
    </row>
    <row r="180" spans="2:14" x14ac:dyDescent="0.15">
      <c r="B180" s="64"/>
      <c r="C180" s="189" t="s">
        <v>250</v>
      </c>
      <c r="D180" s="169" t="s">
        <v>9</v>
      </c>
      <c r="E180" s="201" t="s">
        <v>8</v>
      </c>
      <c r="F180" s="194" t="s">
        <v>201</v>
      </c>
      <c r="G180" s="98"/>
      <c r="H180" s="15"/>
      <c r="I180" s="98"/>
      <c r="J180" s="98"/>
      <c r="K180" s="157"/>
      <c r="L180" s="258"/>
      <c r="M180" s="258"/>
      <c r="N180" s="259"/>
    </row>
    <row r="181" spans="2:14" x14ac:dyDescent="0.15">
      <c r="B181" s="64"/>
      <c r="C181" s="200">
        <v>0.5</v>
      </c>
      <c r="D181" s="155">
        <f>COUNTIFS($D$6:$D$69,Tableau7[[#Headers],[F]],$L$6:$L$69,C181)</f>
        <v>2</v>
      </c>
      <c r="E181" s="99">
        <f>COUNTIFS($D$6:$D$69,Tableau7[[#Headers],[M]],$L$6:$L$69,C181)</f>
        <v>0</v>
      </c>
      <c r="F181" s="242">
        <f>Tableau7[[#This Row],[F]]+Tableau7[[#This Row],[M]]</f>
        <v>2</v>
      </c>
      <c r="G181" s="98"/>
      <c r="H181" s="15"/>
      <c r="I181" s="98"/>
      <c r="J181" s="98"/>
      <c r="K181" s="157"/>
      <c r="L181" s="258"/>
      <c r="M181" s="258"/>
      <c r="N181" s="259"/>
    </row>
    <row r="182" spans="2:14" x14ac:dyDescent="0.15">
      <c r="B182" s="64"/>
      <c r="C182" s="200">
        <v>0.6</v>
      </c>
      <c r="D182" s="155">
        <f>COUNTIFS($D$6:$D$69,Tableau7[[#Headers],[F]],$L$6:$L$69,C182)</f>
        <v>1</v>
      </c>
      <c r="E182" s="99">
        <f>COUNTIFS($D$6:$D$69,Tableau7[[#Headers],[M]],$L$6:$L$69,C182)</f>
        <v>2</v>
      </c>
      <c r="F182" s="242">
        <f>Tableau7[[#This Row],[F]]+Tableau7[[#This Row],[M]]</f>
        <v>3</v>
      </c>
      <c r="G182" s="98"/>
      <c r="H182" s="15"/>
      <c r="I182" s="98"/>
      <c r="J182" s="98"/>
      <c r="K182" s="157"/>
      <c r="L182" s="258"/>
      <c r="M182" s="258"/>
      <c r="N182" s="259"/>
    </row>
    <row r="183" spans="2:14" x14ac:dyDescent="0.15">
      <c r="B183" s="64"/>
      <c r="C183" s="200">
        <v>0.7</v>
      </c>
      <c r="D183" s="155">
        <f>COUNTIFS($D$6:$D$69,Tableau7[[#Headers],[F]],$L$6:$L$69,C183)</f>
        <v>1</v>
      </c>
      <c r="E183" s="99">
        <f>COUNTIFS($D$6:$D$69,Tableau7[[#Headers],[M]],$L$6:$L$69,C183)</f>
        <v>0</v>
      </c>
      <c r="F183" s="242">
        <f>Tableau7[[#This Row],[F]]+Tableau7[[#This Row],[M]]</f>
        <v>1</v>
      </c>
      <c r="G183" s="98"/>
      <c r="H183" s="15"/>
      <c r="I183" s="98"/>
      <c r="J183" s="98"/>
      <c r="K183" s="157"/>
      <c r="L183" s="258"/>
      <c r="M183" s="258"/>
      <c r="N183" s="259"/>
    </row>
    <row r="184" spans="2:14" x14ac:dyDescent="0.15">
      <c r="B184" s="64"/>
      <c r="C184" s="200">
        <v>0.8</v>
      </c>
      <c r="D184" s="155">
        <f>COUNTIFS($D$6:$D$69,Tableau7[[#Headers],[F]],$L$6:$L$69,C184)</f>
        <v>0</v>
      </c>
      <c r="E184" s="99">
        <f>COUNTIFS($D$6:$D$69,Tableau7[[#Headers],[M]],$L$6:$L$69,C184)</f>
        <v>4</v>
      </c>
      <c r="F184" s="242">
        <f>Tableau7[[#This Row],[F]]+Tableau7[[#This Row],[M]]</f>
        <v>4</v>
      </c>
      <c r="G184" s="98"/>
      <c r="H184" s="15"/>
      <c r="I184" s="98"/>
      <c r="J184" s="98"/>
      <c r="K184" s="157"/>
      <c r="L184" s="258"/>
      <c r="M184" s="258"/>
      <c r="N184" s="259"/>
    </row>
    <row r="185" spans="2:14" x14ac:dyDescent="0.15">
      <c r="B185" s="64"/>
      <c r="C185" s="200">
        <v>1</v>
      </c>
      <c r="D185" s="106">
        <f>COUNTIFS($D$6:$D$69,Tableau7[[#Headers],[F]],$L$6:$L$69,C185)</f>
        <v>25</v>
      </c>
      <c r="E185" s="101">
        <f>COUNTIFS($D$6:$D$69,Tableau7[[#Headers],[M]],$L$6:$L$69,C185)</f>
        <v>29</v>
      </c>
      <c r="F185" s="179">
        <f>Tableau7[[#This Row],[F]]+Tableau7[[#This Row],[M]]</f>
        <v>54</v>
      </c>
      <c r="G185" s="98"/>
      <c r="H185" s="15"/>
      <c r="I185" s="98"/>
      <c r="J185" s="98"/>
      <c r="K185" s="157"/>
      <c r="L185" s="258"/>
      <c r="M185" s="258"/>
      <c r="N185" s="259"/>
    </row>
    <row r="186" spans="2:14" x14ac:dyDescent="0.15">
      <c r="B186" s="64"/>
      <c r="C186" s="181" t="s">
        <v>195</v>
      </c>
      <c r="D186" s="198">
        <f>SUM(D181:D185)</f>
        <v>29</v>
      </c>
      <c r="E186" s="172">
        <f>SUM(E181:E185)</f>
        <v>35</v>
      </c>
      <c r="F186" s="172">
        <f>SUM(Tableau7[[Total General ]])</f>
        <v>64</v>
      </c>
      <c r="G186" s="98"/>
      <c r="H186" s="15"/>
      <c r="I186" s="98"/>
      <c r="J186" s="98"/>
      <c r="K186" s="157"/>
      <c r="L186" s="258"/>
      <c r="M186" s="258"/>
      <c r="N186" s="259"/>
    </row>
    <row r="187" spans="2:14" x14ac:dyDescent="0.15">
      <c r="B187" s="64"/>
      <c r="C187" s="15"/>
      <c r="D187" s="98"/>
      <c r="E187" s="260"/>
      <c r="F187" s="157"/>
      <c r="G187" s="98"/>
      <c r="H187" s="15"/>
      <c r="I187" s="98"/>
      <c r="J187" s="98"/>
      <c r="K187" s="157"/>
      <c r="L187" s="258"/>
      <c r="M187" s="258"/>
      <c r="N187" s="259"/>
    </row>
    <row r="188" spans="2:14" x14ac:dyDescent="0.15">
      <c r="B188" s="64"/>
      <c r="C188" s="15"/>
      <c r="D188" s="98"/>
      <c r="E188" s="260"/>
      <c r="F188" s="157"/>
      <c r="G188" s="98"/>
      <c r="H188" s="15"/>
      <c r="I188" s="98"/>
      <c r="J188" s="98"/>
      <c r="K188" s="157"/>
      <c r="L188" s="258"/>
      <c r="M188" s="258"/>
      <c r="N188" s="259"/>
    </row>
    <row r="189" spans="2:14" x14ac:dyDescent="0.15">
      <c r="B189" s="64"/>
      <c r="C189" s="15"/>
      <c r="D189" s="98"/>
      <c r="E189" s="260"/>
      <c r="F189" s="157"/>
      <c r="G189" s="98"/>
      <c r="H189" s="15"/>
      <c r="I189" s="98"/>
      <c r="J189" s="98"/>
      <c r="K189" s="157"/>
      <c r="L189" s="258"/>
      <c r="M189" s="258"/>
      <c r="N189" s="259"/>
    </row>
    <row r="190" spans="2:14" x14ac:dyDescent="0.15">
      <c r="B190" s="64"/>
      <c r="C190" s="15"/>
      <c r="D190" s="98"/>
      <c r="E190" s="260"/>
      <c r="F190" s="157"/>
      <c r="G190" s="98"/>
      <c r="H190" s="15"/>
      <c r="I190" s="98"/>
      <c r="J190" s="98"/>
      <c r="K190" s="157"/>
      <c r="L190" s="258"/>
      <c r="M190" s="258"/>
      <c r="N190" s="259"/>
    </row>
    <row r="191" spans="2:14" x14ac:dyDescent="0.15">
      <c r="B191" s="64"/>
      <c r="C191" s="15"/>
      <c r="D191" s="98"/>
      <c r="E191" s="260"/>
      <c r="F191" s="157"/>
      <c r="G191" s="98"/>
      <c r="H191" s="15"/>
      <c r="I191" s="98"/>
      <c r="J191" s="98"/>
      <c r="K191" s="157"/>
      <c r="L191" s="258"/>
      <c r="M191" s="258"/>
      <c r="N191" s="259"/>
    </row>
    <row r="192" spans="2:14" x14ac:dyDescent="0.15">
      <c r="B192" s="64"/>
      <c r="C192" s="15"/>
      <c r="D192" s="98"/>
      <c r="E192" s="260"/>
      <c r="F192" s="157"/>
      <c r="G192" s="98"/>
      <c r="H192" s="15"/>
      <c r="I192" s="98"/>
      <c r="J192" s="98"/>
      <c r="K192" s="157"/>
      <c r="L192" s="258"/>
      <c r="M192" s="258"/>
      <c r="N192" s="259"/>
    </row>
    <row r="193" spans="2:14" x14ac:dyDescent="0.15">
      <c r="B193" s="64"/>
      <c r="C193" s="15"/>
      <c r="D193" s="98"/>
      <c r="E193" s="260"/>
      <c r="F193" s="157"/>
      <c r="G193" s="98"/>
      <c r="H193" s="15"/>
      <c r="I193" s="98"/>
      <c r="J193" s="98"/>
      <c r="K193" s="157"/>
      <c r="L193" s="258"/>
      <c r="M193" s="258"/>
      <c r="N193" s="259"/>
    </row>
    <row r="194" spans="2:14" x14ac:dyDescent="0.15">
      <c r="B194" s="64"/>
      <c r="C194" s="15"/>
      <c r="D194" s="98"/>
      <c r="E194" s="260"/>
      <c r="F194" s="157"/>
      <c r="G194" s="98"/>
      <c r="H194" s="15"/>
      <c r="I194" s="98"/>
      <c r="J194" s="98"/>
      <c r="K194" s="157"/>
      <c r="L194" s="258"/>
      <c r="M194" s="258"/>
      <c r="N194" s="259"/>
    </row>
    <row r="195" spans="2:14" x14ac:dyDescent="0.15">
      <c r="B195" s="64"/>
      <c r="C195" s="15"/>
      <c r="D195" s="98"/>
      <c r="E195" s="260"/>
      <c r="F195" s="157"/>
      <c r="G195" s="98"/>
      <c r="H195" s="15"/>
      <c r="I195" s="98"/>
      <c r="J195" s="98"/>
      <c r="K195" s="157"/>
      <c r="L195" s="258"/>
      <c r="M195" s="258"/>
      <c r="N195" s="259"/>
    </row>
    <row r="196" spans="2:14" x14ac:dyDescent="0.15">
      <c r="B196" s="64"/>
      <c r="C196" s="15"/>
      <c r="D196" s="98"/>
      <c r="E196" s="260"/>
      <c r="F196" s="157"/>
      <c r="G196" s="98"/>
      <c r="H196" s="15"/>
      <c r="I196" s="98"/>
      <c r="J196" s="98"/>
      <c r="K196" s="157"/>
      <c r="L196" s="258"/>
      <c r="M196" s="258"/>
      <c r="N196" s="259"/>
    </row>
    <row r="197" spans="2:14" x14ac:dyDescent="0.15">
      <c r="B197" s="64"/>
      <c r="C197" s="15"/>
      <c r="D197" s="98"/>
      <c r="E197" s="260"/>
      <c r="F197" s="157"/>
      <c r="G197" s="98"/>
      <c r="H197" s="15"/>
      <c r="I197" s="98"/>
      <c r="J197" s="98"/>
      <c r="K197" s="157"/>
      <c r="L197" s="258"/>
      <c r="M197" s="258"/>
      <c r="N197" s="259"/>
    </row>
    <row r="198" spans="2:14" x14ac:dyDescent="0.15">
      <c r="B198" s="64"/>
      <c r="C198" s="15"/>
      <c r="D198" s="98"/>
      <c r="E198" s="260"/>
      <c r="F198" s="157"/>
      <c r="G198" s="98"/>
      <c r="H198" s="15"/>
      <c r="I198" s="98"/>
      <c r="J198" s="98"/>
      <c r="K198" s="157"/>
      <c r="L198" s="258"/>
      <c r="M198" s="258"/>
      <c r="N198" s="259"/>
    </row>
    <row r="199" spans="2:14" x14ac:dyDescent="0.15">
      <c r="B199" s="64"/>
      <c r="C199" s="15"/>
      <c r="D199" s="98"/>
      <c r="E199" s="260"/>
      <c r="F199" s="157"/>
      <c r="G199" s="98"/>
      <c r="H199" s="15"/>
      <c r="I199" s="98"/>
      <c r="J199" s="98"/>
      <c r="K199" s="157"/>
      <c r="L199" s="258"/>
      <c r="M199" s="258"/>
      <c r="N199" s="259"/>
    </row>
    <row r="200" spans="2:14" x14ac:dyDescent="0.15">
      <c r="B200" s="64"/>
      <c r="C200" s="15"/>
      <c r="D200" s="98"/>
      <c r="E200" s="260"/>
      <c r="F200" s="157"/>
      <c r="G200" s="98"/>
      <c r="H200" s="15"/>
      <c r="I200" s="98"/>
      <c r="J200" s="98"/>
      <c r="K200" s="157"/>
      <c r="L200" s="258"/>
      <c r="M200" s="258"/>
      <c r="N200" s="259"/>
    </row>
    <row r="201" spans="2:14" x14ac:dyDescent="0.15">
      <c r="B201" s="64"/>
      <c r="C201" s="15"/>
      <c r="D201" s="98"/>
      <c r="E201" s="260"/>
      <c r="F201" s="157"/>
      <c r="G201" s="98"/>
      <c r="H201" s="15"/>
      <c r="I201" s="98"/>
      <c r="J201" s="98"/>
      <c r="K201" s="157"/>
      <c r="L201" s="258"/>
      <c r="M201" s="258"/>
      <c r="N201" s="259"/>
    </row>
    <row r="202" spans="2:14" x14ac:dyDescent="0.15">
      <c r="B202" s="64"/>
      <c r="C202" s="15"/>
      <c r="D202" s="98"/>
      <c r="E202" s="260"/>
      <c r="F202" s="157"/>
      <c r="G202" s="98"/>
      <c r="H202" s="15"/>
      <c r="I202" s="98"/>
      <c r="J202" s="98"/>
      <c r="K202" s="157"/>
      <c r="L202" s="258"/>
      <c r="M202" s="258"/>
      <c r="N202" s="259"/>
    </row>
    <row r="203" spans="2:14" ht="16" x14ac:dyDescent="0.2">
      <c r="B203" s="64"/>
      <c r="C203" s="277" t="s">
        <v>202</v>
      </c>
      <c r="D203" s="98"/>
      <c r="E203" s="260"/>
      <c r="F203" s="157"/>
      <c r="G203" s="98"/>
      <c r="H203" s="15"/>
      <c r="I203" s="98"/>
      <c r="J203" s="98"/>
      <c r="K203" s="157"/>
      <c r="L203" s="258"/>
      <c r="M203" s="258"/>
      <c r="N203" s="259"/>
    </row>
    <row r="204" spans="2:14" x14ac:dyDescent="0.15">
      <c r="B204" s="64"/>
      <c r="C204" s="15"/>
      <c r="D204" s="98"/>
      <c r="E204" s="260"/>
      <c r="F204" s="157"/>
      <c r="G204" s="98"/>
      <c r="H204" s="15"/>
      <c r="I204" s="98"/>
      <c r="J204" s="98"/>
      <c r="K204" s="157"/>
      <c r="L204" s="258"/>
      <c r="M204" s="258"/>
      <c r="N204" s="259"/>
    </row>
    <row r="205" spans="2:14" x14ac:dyDescent="0.15">
      <c r="B205" s="64"/>
      <c r="C205" s="42" t="s">
        <v>203</v>
      </c>
      <c r="D205" s="239" t="s">
        <v>9</v>
      </c>
      <c r="E205" s="240" t="s">
        <v>8</v>
      </c>
      <c r="F205" s="240" t="s">
        <v>204</v>
      </c>
      <c r="G205" s="98"/>
      <c r="H205" s="15"/>
      <c r="I205" s="98"/>
      <c r="J205" s="98"/>
      <c r="K205" s="157"/>
      <c r="L205" s="258"/>
      <c r="M205" s="258"/>
      <c r="N205" s="259"/>
    </row>
    <row r="206" spans="2:14" x14ac:dyDescent="0.15">
      <c r="B206" s="64"/>
      <c r="C206" s="241" t="str">
        <f>Y6</f>
        <v xml:space="preserve">inferieur à 20 ans </v>
      </c>
      <c r="D206" s="98">
        <f>COUNTIFS($D$6:$D$69,D$205,$U$6:$U$69,C206)</f>
        <v>0</v>
      </c>
      <c r="E206" s="98">
        <f>COUNTIFS($D$6:$D$69,E$205,$U$6:$U$69,$C206)</f>
        <v>0</v>
      </c>
      <c r="F206" s="233">
        <f>-Tableau4[[#This Row],[F]]</f>
        <v>0</v>
      </c>
      <c r="G206" s="98"/>
      <c r="H206" s="15"/>
      <c r="I206" s="98"/>
      <c r="J206" s="98"/>
      <c r="K206" s="157"/>
      <c r="L206" s="258"/>
      <c r="M206" s="258"/>
      <c r="N206" s="259"/>
    </row>
    <row r="207" spans="2:14" x14ac:dyDescent="0.15">
      <c r="B207" s="64"/>
      <c r="C207" s="241" t="str">
        <f t="shared" ref="C207:C210" si="23">Y7</f>
        <v>de 20 ans à 30ans</v>
      </c>
      <c r="D207" s="98">
        <f>COUNTIFS($D$6:$D$69,D$205,$U$6:$U$69,C207)</f>
        <v>7</v>
      </c>
      <c r="E207" s="233">
        <f>COUNTIFS($D$6:$D$69,E$205,$U$6:$U$69,$C207)</f>
        <v>10</v>
      </c>
      <c r="F207" s="233">
        <f>-Tableau4[[#This Row],[F]]</f>
        <v>-7</v>
      </c>
      <c r="G207" s="98"/>
      <c r="H207" s="15"/>
      <c r="I207" s="98"/>
      <c r="J207" s="98"/>
      <c r="K207" s="157"/>
      <c r="L207" s="258"/>
      <c r="M207" s="258"/>
      <c r="N207" s="259"/>
    </row>
    <row r="208" spans="2:14" x14ac:dyDescent="0.15">
      <c r="B208" s="64"/>
      <c r="C208" s="241" t="str">
        <f t="shared" si="23"/>
        <v>de 30 ans à 45ans</v>
      </c>
      <c r="D208" s="98">
        <f>COUNTIFS($D$6:$D$69,D$205,$U$6:$U$69,C208)</f>
        <v>15</v>
      </c>
      <c r="E208" s="233">
        <f>COUNTIFS($D$6:$D$69,E$205,$U$6:$U$69,$C208)</f>
        <v>18</v>
      </c>
      <c r="F208" s="233">
        <f>-Tableau4[[#This Row],[F]]</f>
        <v>-15</v>
      </c>
      <c r="G208" s="98"/>
      <c r="H208" s="15"/>
      <c r="I208" s="98"/>
      <c r="J208" s="98"/>
      <c r="K208" s="157"/>
      <c r="L208" s="258"/>
      <c r="M208" s="258"/>
      <c r="N208" s="259"/>
    </row>
    <row r="209" spans="2:14" x14ac:dyDescent="0.15">
      <c r="B209" s="64"/>
      <c r="C209" s="241" t="str">
        <f t="shared" si="23"/>
        <v>de 45 ans à 50ans</v>
      </c>
      <c r="D209" s="98">
        <f>COUNTIFS($D$6:$D$69,D$205,$U$6:$U$69,C209)</f>
        <v>1</v>
      </c>
      <c r="E209" s="233">
        <f>COUNTIFS($D$6:$D$69,E$205,$U$6:$U$69,$C209)</f>
        <v>2</v>
      </c>
      <c r="F209" s="233">
        <f>-Tableau4[[#This Row],[F]]</f>
        <v>-1</v>
      </c>
      <c r="G209" s="98"/>
      <c r="H209" s="15"/>
      <c r="I209" s="98"/>
      <c r="J209" s="98"/>
      <c r="K209" s="157"/>
      <c r="L209" s="258"/>
      <c r="M209" s="258"/>
      <c r="N209" s="259"/>
    </row>
    <row r="210" spans="2:14" x14ac:dyDescent="0.15">
      <c r="B210" s="64"/>
      <c r="C210" s="241" t="str">
        <f t="shared" si="23"/>
        <v xml:space="preserve">superieur à 50 ans </v>
      </c>
      <c r="D210" s="98">
        <f>COUNTIFS($D$6:$D$69,D$205,$U$6:$U$69,C210)</f>
        <v>6</v>
      </c>
      <c r="E210" s="233">
        <f>COUNTIFS($D$6:$D$69,E$205,$U$6:$U$69,$C210)</f>
        <v>5</v>
      </c>
      <c r="F210" s="233">
        <f>-Tableau4[[#This Row],[F]]</f>
        <v>-6</v>
      </c>
      <c r="G210" s="98"/>
      <c r="H210" s="15"/>
      <c r="I210" s="98"/>
      <c r="J210" s="98"/>
      <c r="K210" s="157"/>
      <c r="L210" s="258"/>
      <c r="M210" s="258"/>
      <c r="N210" s="259"/>
    </row>
    <row r="211" spans="2:14" x14ac:dyDescent="0.15">
      <c r="B211" s="64"/>
      <c r="C211" s="198" t="s">
        <v>195</v>
      </c>
      <c r="D211" s="196">
        <f>SUM(D206:D210)</f>
        <v>29</v>
      </c>
      <c r="E211" s="199">
        <f>SUM(E206:E210)</f>
        <v>35</v>
      </c>
      <c r="F211" s="230"/>
      <c r="G211" s="98"/>
      <c r="H211" s="15"/>
      <c r="I211" s="98"/>
      <c r="J211" s="98"/>
      <c r="K211" s="157"/>
      <c r="L211" s="258"/>
      <c r="M211" s="258"/>
      <c r="N211" s="259"/>
    </row>
    <row r="212" spans="2:14" x14ac:dyDescent="0.15">
      <c r="B212" s="64"/>
      <c r="C212" s="253"/>
      <c r="D212" s="253"/>
      <c r="E212" s="254"/>
      <c r="F212" s="176"/>
      <c r="G212" s="98"/>
      <c r="H212" s="15"/>
      <c r="I212" s="98"/>
      <c r="J212" s="98"/>
      <c r="K212" s="157"/>
      <c r="L212" s="258"/>
      <c r="M212" s="258"/>
      <c r="N212" s="259"/>
    </row>
    <row r="213" spans="2:14" x14ac:dyDescent="0.15">
      <c r="B213" s="64"/>
      <c r="C213" s="253"/>
      <c r="D213" s="253"/>
      <c r="E213" s="254"/>
      <c r="F213" s="176"/>
      <c r="G213" s="98"/>
      <c r="H213" s="15"/>
      <c r="I213" s="98"/>
      <c r="J213" s="98"/>
      <c r="K213" s="157"/>
      <c r="L213" s="258"/>
      <c r="M213" s="258"/>
      <c r="N213" s="259"/>
    </row>
    <row r="214" spans="2:14" x14ac:dyDescent="0.15">
      <c r="B214" s="64"/>
      <c r="C214" s="253"/>
      <c r="D214" s="253"/>
      <c r="E214" s="254"/>
      <c r="F214" s="176"/>
      <c r="G214" s="98"/>
      <c r="H214" s="15"/>
      <c r="I214" s="98"/>
      <c r="J214" s="98"/>
      <c r="K214" s="157"/>
      <c r="L214" s="258"/>
      <c r="M214" s="258"/>
      <c r="N214" s="259"/>
    </row>
    <row r="215" spans="2:14" x14ac:dyDescent="0.15">
      <c r="B215" s="64"/>
      <c r="C215" s="253"/>
      <c r="D215" s="253"/>
      <c r="E215" s="254"/>
      <c r="F215" s="176"/>
      <c r="G215" s="98"/>
      <c r="H215" s="15"/>
      <c r="I215" s="98"/>
      <c r="J215" s="98"/>
      <c r="K215" s="157"/>
      <c r="L215" s="258"/>
      <c r="M215" s="258"/>
      <c r="N215" s="259"/>
    </row>
    <row r="216" spans="2:14" x14ac:dyDescent="0.15">
      <c r="B216" s="64"/>
      <c r="C216" s="253"/>
      <c r="D216" s="253"/>
      <c r="E216" s="254"/>
      <c r="F216" s="176"/>
      <c r="G216" s="98"/>
      <c r="H216" s="15"/>
      <c r="I216" s="98"/>
      <c r="J216" s="98"/>
      <c r="K216" s="157"/>
      <c r="L216" s="258"/>
      <c r="M216" s="258"/>
      <c r="N216" s="259"/>
    </row>
    <row r="217" spans="2:14" x14ac:dyDescent="0.15">
      <c r="B217" s="64"/>
      <c r="C217" s="253"/>
      <c r="D217" s="253"/>
      <c r="E217" s="254"/>
      <c r="F217" s="176"/>
      <c r="G217" s="98"/>
      <c r="H217" s="15"/>
      <c r="I217" s="98"/>
      <c r="J217" s="98"/>
      <c r="K217" s="157"/>
      <c r="L217" s="258"/>
      <c r="M217" s="258"/>
      <c r="N217" s="259"/>
    </row>
    <row r="218" spans="2:14" x14ac:dyDescent="0.15">
      <c r="B218" s="64"/>
      <c r="C218" s="253"/>
      <c r="D218" s="253"/>
      <c r="E218" s="254"/>
      <c r="F218" s="176"/>
      <c r="G218" s="98"/>
      <c r="H218" s="15"/>
      <c r="I218" s="98"/>
      <c r="J218" s="98"/>
      <c r="K218" s="157"/>
      <c r="L218" s="258"/>
      <c r="M218" s="258"/>
      <c r="N218" s="259"/>
    </row>
    <row r="219" spans="2:14" x14ac:dyDescent="0.15">
      <c r="B219" s="64"/>
      <c r="C219" s="253"/>
      <c r="D219" s="253"/>
      <c r="E219" s="254"/>
      <c r="F219" s="176"/>
      <c r="G219" s="98"/>
      <c r="H219" s="15"/>
      <c r="I219" s="98"/>
      <c r="J219" s="98"/>
      <c r="K219" s="157"/>
      <c r="L219" s="258"/>
      <c r="M219" s="258"/>
      <c r="N219" s="259"/>
    </row>
    <row r="220" spans="2:14" x14ac:dyDescent="0.15">
      <c r="B220" s="64"/>
      <c r="C220" s="253"/>
      <c r="D220" s="253"/>
      <c r="E220" s="254"/>
      <c r="F220" s="176"/>
      <c r="G220" s="98"/>
      <c r="H220" s="15"/>
      <c r="I220" s="98"/>
      <c r="J220" s="98"/>
      <c r="K220" s="157"/>
      <c r="L220" s="258"/>
      <c r="M220" s="258"/>
      <c r="N220" s="259"/>
    </row>
    <row r="221" spans="2:14" x14ac:dyDescent="0.15">
      <c r="B221" s="64"/>
      <c r="C221" s="253"/>
      <c r="D221" s="253"/>
      <c r="E221" s="254"/>
      <c r="F221" s="176"/>
      <c r="G221" s="98"/>
      <c r="H221" s="15"/>
      <c r="I221" s="98"/>
      <c r="J221" s="98"/>
      <c r="K221" s="157"/>
      <c r="L221" s="258"/>
      <c r="M221" s="258"/>
      <c r="N221" s="259"/>
    </row>
    <row r="222" spans="2:14" x14ac:dyDescent="0.15">
      <c r="B222" s="64"/>
      <c r="C222" s="253"/>
      <c r="D222" s="253"/>
      <c r="E222" s="254"/>
      <c r="F222" s="176"/>
      <c r="G222" s="98"/>
      <c r="H222" s="15"/>
      <c r="I222" s="98"/>
      <c r="J222" s="98"/>
      <c r="K222" s="157"/>
      <c r="L222" s="258"/>
      <c r="M222" s="258"/>
      <c r="N222" s="259"/>
    </row>
    <row r="223" spans="2:14" x14ac:dyDescent="0.15">
      <c r="B223" s="64"/>
      <c r="C223" s="253"/>
      <c r="D223" s="253"/>
      <c r="E223" s="254"/>
      <c r="F223" s="176"/>
      <c r="G223" s="98"/>
      <c r="H223" s="15"/>
      <c r="I223" s="98"/>
      <c r="J223" s="98"/>
      <c r="K223" s="157"/>
      <c r="L223" s="258"/>
      <c r="M223" s="258"/>
      <c r="N223" s="259"/>
    </row>
    <row r="224" spans="2:14" x14ac:dyDescent="0.15">
      <c r="B224" s="64"/>
      <c r="C224" s="253"/>
      <c r="D224" s="253"/>
      <c r="E224" s="254"/>
      <c r="F224" s="176"/>
      <c r="G224" s="98"/>
      <c r="H224" s="15"/>
      <c r="I224" s="98"/>
      <c r="J224" s="98"/>
      <c r="K224" s="157"/>
      <c r="L224" s="258"/>
      <c r="M224" s="258"/>
      <c r="N224" s="259"/>
    </row>
    <row r="225" spans="2:14" x14ac:dyDescent="0.15">
      <c r="B225" s="64"/>
      <c r="C225" s="253"/>
      <c r="D225" s="253"/>
      <c r="E225" s="254"/>
      <c r="F225" s="176"/>
      <c r="G225" s="98"/>
      <c r="H225" s="15"/>
      <c r="I225" s="98"/>
      <c r="J225" s="98"/>
      <c r="K225" s="157"/>
      <c r="L225" s="258"/>
      <c r="M225" s="258"/>
      <c r="N225" s="259"/>
    </row>
    <row r="226" spans="2:14" x14ac:dyDescent="0.15">
      <c r="B226" s="64"/>
      <c r="C226" s="253"/>
      <c r="D226" s="253"/>
      <c r="E226" s="254"/>
      <c r="F226" s="176"/>
      <c r="G226" s="98"/>
      <c r="H226" s="15"/>
      <c r="I226" s="98"/>
      <c r="J226" s="98"/>
      <c r="K226" s="157"/>
      <c r="L226" s="258"/>
      <c r="M226" s="258"/>
      <c r="N226" s="259"/>
    </row>
    <row r="227" spans="2:14" x14ac:dyDescent="0.15">
      <c r="B227" s="64"/>
      <c r="C227" s="253"/>
      <c r="D227" s="253"/>
      <c r="E227" s="254"/>
      <c r="F227" s="176"/>
      <c r="G227" s="98"/>
      <c r="H227" s="15"/>
      <c r="I227" s="98"/>
      <c r="J227" s="98"/>
      <c r="K227" s="157"/>
      <c r="L227" s="258"/>
      <c r="M227" s="258"/>
      <c r="N227" s="259"/>
    </row>
    <row r="228" spans="2:14" x14ac:dyDescent="0.15">
      <c r="B228" s="64"/>
      <c r="C228" s="253"/>
      <c r="D228" s="253"/>
      <c r="E228" s="254"/>
      <c r="F228" s="176"/>
      <c r="G228" s="98"/>
      <c r="H228" s="15"/>
      <c r="I228" s="98"/>
      <c r="J228" s="98"/>
      <c r="K228" s="157"/>
      <c r="L228" s="258"/>
      <c r="M228" s="258"/>
      <c r="N228" s="259"/>
    </row>
    <row r="229" spans="2:14" x14ac:dyDescent="0.15">
      <c r="B229" s="64"/>
      <c r="C229" s="253"/>
      <c r="D229" s="253"/>
      <c r="E229" s="254"/>
      <c r="F229" s="176"/>
      <c r="G229" s="98"/>
      <c r="H229" s="15"/>
      <c r="I229" s="98"/>
      <c r="J229" s="98"/>
      <c r="K229" s="157"/>
      <c r="L229" s="258"/>
      <c r="M229" s="258"/>
      <c r="N229" s="259"/>
    </row>
    <row r="230" spans="2:14" x14ac:dyDescent="0.15">
      <c r="B230" s="64"/>
      <c r="C230" s="15"/>
      <c r="D230" s="98"/>
      <c r="E230" s="260"/>
      <c r="F230" s="157"/>
      <c r="G230" s="98"/>
      <c r="H230" s="15"/>
      <c r="I230" s="98"/>
      <c r="J230" s="98"/>
      <c r="K230" s="157"/>
      <c r="L230" s="258"/>
      <c r="M230" s="258"/>
      <c r="N230" s="259"/>
    </row>
    <row r="231" spans="2:14" x14ac:dyDescent="0.15">
      <c r="B231" s="64"/>
      <c r="C231" s="15"/>
      <c r="D231" s="98"/>
      <c r="E231" s="260"/>
      <c r="F231" s="157"/>
      <c r="G231" s="98"/>
      <c r="H231" s="15"/>
      <c r="I231" s="98"/>
      <c r="J231" s="98"/>
      <c r="K231" s="157"/>
      <c r="L231" s="258"/>
      <c r="M231" s="258"/>
      <c r="N231" s="259"/>
    </row>
    <row r="232" spans="2:14" x14ac:dyDescent="0.15">
      <c r="B232" s="64"/>
      <c r="C232" s="15"/>
      <c r="D232" s="98"/>
      <c r="E232" s="260"/>
      <c r="F232" s="157"/>
      <c r="G232" s="98"/>
      <c r="H232" s="15"/>
      <c r="I232" s="98"/>
      <c r="J232" s="98"/>
      <c r="K232" s="157"/>
      <c r="L232" s="258"/>
      <c r="M232" s="258"/>
      <c r="N232" s="259"/>
    </row>
    <row r="233" spans="2:14" ht="20" x14ac:dyDescent="0.2">
      <c r="B233" s="64"/>
      <c r="C233" s="274" t="s">
        <v>210</v>
      </c>
      <c r="D233" s="98"/>
      <c r="E233" s="260"/>
      <c r="F233" s="157"/>
      <c r="G233" s="98"/>
      <c r="H233" s="15"/>
      <c r="I233" s="98"/>
      <c r="J233" s="98"/>
      <c r="K233" s="157"/>
      <c r="L233" s="258"/>
      <c r="M233" s="258"/>
      <c r="N233" s="259"/>
    </row>
    <row r="234" spans="2:14" ht="16" x14ac:dyDescent="0.2">
      <c r="B234" s="64"/>
      <c r="C234" s="261"/>
      <c r="D234" s="98"/>
      <c r="E234" s="260"/>
      <c r="F234" s="157"/>
      <c r="G234" s="98"/>
      <c r="H234" s="15"/>
      <c r="I234" s="98"/>
      <c r="J234" s="98"/>
      <c r="K234" s="157"/>
      <c r="L234" s="258"/>
      <c r="M234" s="258"/>
      <c r="N234" s="259"/>
    </row>
    <row r="235" spans="2:14" ht="16" x14ac:dyDescent="0.2">
      <c r="B235" s="64"/>
      <c r="C235" s="277" t="s">
        <v>211</v>
      </c>
      <c r="D235" s="98"/>
      <c r="E235" s="260"/>
      <c r="F235" s="157"/>
      <c r="G235" s="98"/>
      <c r="H235" s="15"/>
      <c r="I235" s="98"/>
      <c r="J235" s="98"/>
      <c r="K235" s="157"/>
      <c r="L235" s="258"/>
      <c r="M235" s="258"/>
      <c r="N235" s="259"/>
    </row>
    <row r="236" spans="2:14" x14ac:dyDescent="0.15">
      <c r="B236" s="64"/>
      <c r="C236" s="15"/>
      <c r="D236" s="98"/>
      <c r="E236" s="260"/>
      <c r="F236" s="157"/>
      <c r="G236" s="98"/>
      <c r="H236" s="15"/>
      <c r="I236" s="98"/>
      <c r="J236" s="98"/>
      <c r="K236" s="157"/>
      <c r="L236" s="258"/>
      <c r="M236" s="258"/>
      <c r="N236" s="259"/>
    </row>
    <row r="237" spans="2:14" x14ac:dyDescent="0.15">
      <c r="B237" s="64"/>
      <c r="C237" s="15"/>
      <c r="D237" s="98"/>
      <c r="E237" s="260"/>
      <c r="F237" s="157"/>
      <c r="G237" s="98"/>
      <c r="H237" s="15"/>
      <c r="I237" s="98"/>
      <c r="J237" s="98"/>
      <c r="K237" s="157"/>
      <c r="L237" s="258"/>
      <c r="M237" s="258"/>
      <c r="N237" s="259"/>
    </row>
    <row r="238" spans="2:14" x14ac:dyDescent="0.15">
      <c r="B238" s="64"/>
      <c r="C238" s="15"/>
      <c r="D238" s="98"/>
      <c r="E238" s="260"/>
      <c r="F238" s="157"/>
      <c r="G238" s="98"/>
      <c r="H238" s="15"/>
      <c r="I238" s="98"/>
      <c r="J238" s="98"/>
      <c r="K238" s="157"/>
      <c r="L238" s="258"/>
      <c r="M238" s="258"/>
      <c r="N238" s="259"/>
    </row>
    <row r="239" spans="2:14" x14ac:dyDescent="0.15">
      <c r="B239" s="64"/>
      <c r="C239" s="15"/>
      <c r="D239" s="98"/>
      <c r="E239" s="260"/>
      <c r="F239" s="157"/>
      <c r="G239" s="98"/>
      <c r="H239" s="15"/>
      <c r="I239" s="98"/>
      <c r="J239" s="98"/>
      <c r="K239" s="157"/>
      <c r="L239" s="258"/>
      <c r="M239" s="258"/>
      <c r="N239" s="259"/>
    </row>
    <row r="240" spans="2:14" x14ac:dyDescent="0.15">
      <c r="B240" s="64"/>
      <c r="C240" s="222" t="s">
        <v>209</v>
      </c>
      <c r="D240" s="235" t="s">
        <v>9</v>
      </c>
      <c r="E240" s="236" t="s">
        <v>8</v>
      </c>
      <c r="F240" s="194" t="s">
        <v>219</v>
      </c>
      <c r="G240" s="98"/>
      <c r="H240" s="15"/>
      <c r="I240" s="98"/>
      <c r="J240" s="98"/>
      <c r="K240" s="157"/>
      <c r="L240" s="258"/>
      <c r="M240" s="258"/>
      <c r="N240" s="259"/>
    </row>
    <row r="241" spans="2:14" x14ac:dyDescent="0.15">
      <c r="B241" s="266">
        <f>W13</f>
        <v>1</v>
      </c>
      <c r="C241" s="224" t="str">
        <f>Y13</f>
        <v>de 0 ans à 5ans</v>
      </c>
      <c r="D241" s="237">
        <f>COUNTIFS(D6:D69,Tableau5[[#Headers],[F]],R6:R69,B241)</f>
        <v>4</v>
      </c>
      <c r="E241" s="238">
        <f>COUNTIFS(D6:D69,Tableau5[[#Headers],[M]],R6:R69,B241)</f>
        <v>10</v>
      </c>
      <c r="F241" s="221">
        <f>Tableau5[[#This Row],[F]]+Tableau5[[#This Row],[M]]</f>
        <v>14</v>
      </c>
      <c r="G241" s="98"/>
      <c r="H241" s="15"/>
      <c r="I241" s="98"/>
      <c r="J241" s="98"/>
      <c r="K241" s="157"/>
      <c r="L241" s="258"/>
      <c r="M241" s="258"/>
      <c r="N241" s="259"/>
    </row>
    <row r="242" spans="2:14" x14ac:dyDescent="0.15">
      <c r="B242" s="266">
        <f t="shared" ref="B242:B246" si="24">W14</f>
        <v>2</v>
      </c>
      <c r="C242" s="224" t="str">
        <f t="shared" ref="C242:C245" si="25">Y14</f>
        <v>de 5 ans à 10ans</v>
      </c>
      <c r="D242" s="237">
        <f>COUNTIFS(D7:D70,Tableau5[[#Headers],[F]],R7:R70,B242)</f>
        <v>9</v>
      </c>
      <c r="E242" s="238">
        <f>COUNTIFS(D7:D70,Tableau5[[#Headers],[M]],R7:R70,B242)</f>
        <v>13</v>
      </c>
      <c r="F242" s="221">
        <f>Tableau5[[#This Row],[F]]+Tableau5[[#This Row],[M]]</f>
        <v>22</v>
      </c>
      <c r="G242" s="98"/>
      <c r="H242" s="15"/>
      <c r="I242" s="98"/>
      <c r="J242" s="98"/>
      <c r="K242" s="157"/>
      <c r="L242" s="258"/>
      <c r="M242" s="258"/>
      <c r="N242" s="259"/>
    </row>
    <row r="243" spans="2:14" x14ac:dyDescent="0.15">
      <c r="B243" s="266">
        <f t="shared" si="24"/>
        <v>3</v>
      </c>
      <c r="C243" s="224" t="str">
        <f t="shared" si="25"/>
        <v>de 10 ans à 20ans</v>
      </c>
      <c r="D243" s="237">
        <f>COUNTIFS(D8:D71,Tableau5[[#Headers],[F]],R8:R71,B243)</f>
        <v>8</v>
      </c>
      <c r="E243" s="238">
        <f>COUNTIFS(D8:D71,Tableau5[[#Headers],[M]],R8:R71,B243)</f>
        <v>5</v>
      </c>
      <c r="F243" s="221">
        <f>Tableau5[[#This Row],[F]]+Tableau5[[#This Row],[M]]</f>
        <v>13</v>
      </c>
      <c r="G243" s="98"/>
      <c r="H243" s="15"/>
      <c r="I243" s="98"/>
      <c r="J243" s="98"/>
      <c r="K243" s="157"/>
      <c r="L243" s="258"/>
      <c r="M243" s="258"/>
      <c r="N243" s="259"/>
    </row>
    <row r="244" spans="2:14" x14ac:dyDescent="0.15">
      <c r="B244" s="266">
        <f t="shared" si="24"/>
        <v>4</v>
      </c>
      <c r="C244" s="224" t="str">
        <f t="shared" si="25"/>
        <v>de 20 ans à 30ans</v>
      </c>
      <c r="D244" s="237">
        <f>COUNTIFS(D9:D72,Tableau5[[#Headers],[F]],R9:R72,B244)</f>
        <v>4</v>
      </c>
      <c r="E244" s="238">
        <f>COUNTIFS(D9:D72,Tableau5[[#Headers],[M]],R9:R72,B244)</f>
        <v>3</v>
      </c>
      <c r="F244" s="221">
        <f>Tableau5[[#This Row],[F]]+Tableau5[[#This Row],[M]]</f>
        <v>7</v>
      </c>
      <c r="G244" s="98"/>
      <c r="H244" s="15"/>
      <c r="I244" s="98"/>
      <c r="J244" s="98"/>
      <c r="K244" s="157"/>
      <c r="L244" s="258"/>
      <c r="M244" s="258"/>
      <c r="N244" s="259"/>
    </row>
    <row r="245" spans="2:14" x14ac:dyDescent="0.15">
      <c r="B245" s="266">
        <f t="shared" si="24"/>
        <v>5</v>
      </c>
      <c r="C245" s="224" t="str">
        <f t="shared" si="25"/>
        <v>de 30 ans à 40ans</v>
      </c>
      <c r="D245" s="237">
        <f>COUNTIFS(D10:D73,Tableau5[[#Headers],[F]],R10:R73,B245)</f>
        <v>2</v>
      </c>
      <c r="E245" s="238">
        <f>COUNTIFS(D10:D73,Tableau5[[#Headers],[M]],R10:R73,B245)</f>
        <v>4</v>
      </c>
      <c r="F245" s="221">
        <f>Tableau5[[#This Row],[F]]+Tableau5[[#This Row],[M]]</f>
        <v>6</v>
      </c>
      <c r="G245" s="98"/>
      <c r="H245" s="15"/>
      <c r="I245" s="98"/>
      <c r="J245" s="98"/>
      <c r="K245" s="157"/>
      <c r="L245" s="258"/>
      <c r="M245" s="258"/>
      <c r="N245" s="259"/>
    </row>
    <row r="246" spans="2:14" x14ac:dyDescent="0.15">
      <c r="B246" s="266">
        <f t="shared" si="24"/>
        <v>6</v>
      </c>
      <c r="C246" s="224" t="str">
        <f>Y18</f>
        <v xml:space="preserve">superieur à 40 ans </v>
      </c>
      <c r="D246" s="237">
        <f>COUNTIFS(D11:D74,Tableau5[[#Headers],[F]],R11:R74,B246)</f>
        <v>2</v>
      </c>
      <c r="E246" s="238">
        <f>COUNTIFS(D11:D74,Tableau5[[#Headers],[M]],R11:R74,B246)</f>
        <v>0</v>
      </c>
      <c r="F246" s="221">
        <f>Tableau5[[#This Row],[F]]+Tableau5[[#This Row],[M]]</f>
        <v>2</v>
      </c>
      <c r="G246" s="98"/>
      <c r="H246" s="15"/>
      <c r="I246" s="98"/>
      <c r="J246" s="98"/>
      <c r="K246" s="157"/>
      <c r="L246" s="258"/>
      <c r="M246" s="258"/>
      <c r="N246" s="259"/>
    </row>
    <row r="247" spans="2:14" x14ac:dyDescent="0.15">
      <c r="B247" s="64"/>
      <c r="C247" s="191" t="s">
        <v>195</v>
      </c>
      <c r="D247" s="171">
        <f>SUM(D241:D246)</f>
        <v>29</v>
      </c>
      <c r="E247" s="172">
        <f>SUM(E241:E246)</f>
        <v>35</v>
      </c>
      <c r="F247" s="180">
        <f>SUM(F241:F246)</f>
        <v>64</v>
      </c>
      <c r="G247" s="98"/>
      <c r="H247" s="15"/>
      <c r="I247" s="98"/>
      <c r="J247" s="98"/>
      <c r="K247" s="157"/>
      <c r="L247" s="258"/>
      <c r="M247" s="258"/>
      <c r="N247" s="259"/>
    </row>
    <row r="248" spans="2:14" x14ac:dyDescent="0.15">
      <c r="B248" s="64"/>
      <c r="C248" s="42"/>
      <c r="D248" s="233"/>
      <c r="E248" s="233"/>
      <c r="F248" s="233"/>
      <c r="G248" s="98"/>
      <c r="H248" s="15"/>
      <c r="I248" s="98"/>
      <c r="J248" s="98"/>
      <c r="K248" s="157"/>
      <c r="L248" s="258"/>
      <c r="M248" s="258"/>
      <c r="N248" s="259"/>
    </row>
    <row r="249" spans="2:14" x14ac:dyDescent="0.15">
      <c r="B249" s="64"/>
      <c r="C249" s="42"/>
      <c r="D249" s="233"/>
      <c r="E249" s="233"/>
      <c r="F249" s="233"/>
      <c r="G249" s="98"/>
      <c r="H249" s="15"/>
      <c r="I249" s="98"/>
      <c r="J249" s="98"/>
      <c r="K249" s="157"/>
      <c r="L249" s="258"/>
      <c r="M249" s="258"/>
      <c r="N249" s="259"/>
    </row>
    <row r="250" spans="2:14" x14ac:dyDescent="0.15">
      <c r="B250" s="64"/>
      <c r="C250" s="42"/>
      <c r="D250" s="233"/>
      <c r="E250" s="233"/>
      <c r="F250" s="233"/>
      <c r="G250" s="98"/>
      <c r="H250" s="15"/>
      <c r="I250" s="98"/>
      <c r="J250" s="98"/>
      <c r="K250" s="157"/>
      <c r="L250" s="258"/>
      <c r="M250" s="258"/>
      <c r="N250" s="259"/>
    </row>
    <row r="251" spans="2:14" x14ac:dyDescent="0.15">
      <c r="B251" s="64"/>
      <c r="C251" s="42"/>
      <c r="D251" s="233"/>
      <c r="E251" s="233"/>
      <c r="F251" s="233"/>
      <c r="G251" s="98"/>
      <c r="H251" s="15"/>
      <c r="I251" s="98"/>
      <c r="J251" s="98"/>
      <c r="K251" s="157"/>
      <c r="L251" s="258"/>
      <c r="M251" s="258"/>
      <c r="N251" s="259"/>
    </row>
    <row r="252" spans="2:14" x14ac:dyDescent="0.15">
      <c r="B252" s="64"/>
      <c r="C252" s="42"/>
      <c r="D252" s="233"/>
      <c r="E252" s="233"/>
      <c r="F252" s="233"/>
      <c r="G252" s="98"/>
      <c r="H252" s="15"/>
      <c r="I252" s="98"/>
      <c r="J252" s="98"/>
      <c r="K252" s="157"/>
      <c r="L252" s="258"/>
      <c r="M252" s="258"/>
      <c r="N252" s="259"/>
    </row>
    <row r="253" spans="2:14" x14ac:dyDescent="0.15">
      <c r="B253" s="64"/>
      <c r="C253" s="42"/>
      <c r="D253" s="233"/>
      <c r="E253" s="233"/>
      <c r="F253" s="233"/>
      <c r="G253" s="98"/>
      <c r="H253" s="15"/>
      <c r="I253" s="98"/>
      <c r="J253" s="98"/>
      <c r="K253" s="157"/>
      <c r="L253" s="258"/>
      <c r="M253" s="258"/>
      <c r="N253" s="259"/>
    </row>
    <row r="254" spans="2:14" x14ac:dyDescent="0.15">
      <c r="B254" s="64"/>
      <c r="C254" s="42"/>
      <c r="D254" s="233"/>
      <c r="E254" s="233"/>
      <c r="F254" s="233"/>
      <c r="G254" s="98"/>
      <c r="H254" s="15"/>
      <c r="I254" s="98"/>
      <c r="J254" s="98"/>
      <c r="K254" s="157"/>
      <c r="L254" s="258"/>
      <c r="M254" s="258"/>
      <c r="N254" s="259"/>
    </row>
    <row r="255" spans="2:14" x14ac:dyDescent="0.15">
      <c r="B255" s="64"/>
      <c r="C255" s="42"/>
      <c r="D255" s="233"/>
      <c r="E255" s="233"/>
      <c r="F255" s="233"/>
      <c r="G255" s="98"/>
      <c r="H255" s="15"/>
      <c r="I255" s="98"/>
      <c r="J255" s="98"/>
      <c r="K255" s="157"/>
      <c r="L255" s="258"/>
      <c r="M255" s="258"/>
      <c r="N255" s="259"/>
    </row>
    <row r="256" spans="2:14" x14ac:dyDescent="0.15">
      <c r="B256" s="64"/>
      <c r="C256" s="42"/>
      <c r="D256" s="233"/>
      <c r="E256" s="233"/>
      <c r="F256" s="233"/>
      <c r="G256" s="98"/>
      <c r="H256" s="15"/>
      <c r="I256" s="98"/>
      <c r="J256" s="98"/>
      <c r="K256" s="157"/>
      <c r="L256" s="258"/>
      <c r="M256" s="258"/>
      <c r="N256" s="259"/>
    </row>
    <row r="257" spans="2:14" x14ac:dyDescent="0.15">
      <c r="B257" s="64"/>
      <c r="C257" s="42"/>
      <c r="D257" s="233"/>
      <c r="E257" s="233"/>
      <c r="F257" s="233"/>
      <c r="G257" s="98"/>
      <c r="H257" s="15"/>
      <c r="I257" s="98"/>
      <c r="J257" s="98"/>
      <c r="K257" s="157"/>
      <c r="L257" s="258"/>
      <c r="M257" s="258"/>
      <c r="N257" s="259"/>
    </row>
    <row r="258" spans="2:14" x14ac:dyDescent="0.15">
      <c r="B258" s="64"/>
      <c r="C258" s="42"/>
      <c r="D258" s="233"/>
      <c r="E258" s="233"/>
      <c r="F258" s="233"/>
      <c r="G258" s="98"/>
      <c r="H258" s="15"/>
      <c r="I258" s="98"/>
      <c r="J258" s="98"/>
      <c r="K258" s="157"/>
      <c r="L258" s="258"/>
      <c r="M258" s="258"/>
      <c r="N258" s="259"/>
    </row>
    <row r="259" spans="2:14" x14ac:dyDescent="0.15">
      <c r="B259" s="64"/>
      <c r="C259" s="42"/>
      <c r="D259" s="233"/>
      <c r="E259" s="233"/>
      <c r="F259" s="233"/>
      <c r="G259" s="98"/>
      <c r="H259" s="15"/>
      <c r="I259" s="98"/>
      <c r="J259" s="98"/>
      <c r="K259" s="157"/>
      <c r="L259" s="258"/>
      <c r="M259" s="258"/>
      <c r="N259" s="259"/>
    </row>
    <row r="260" spans="2:14" x14ac:dyDescent="0.15">
      <c r="B260" s="64"/>
      <c r="C260" s="42"/>
      <c r="D260" s="233"/>
      <c r="E260" s="233"/>
      <c r="F260" s="233"/>
      <c r="G260" s="98"/>
      <c r="H260" s="15"/>
      <c r="I260" s="98"/>
      <c r="J260" s="98"/>
      <c r="K260" s="157"/>
      <c r="L260" s="258"/>
      <c r="M260" s="258"/>
      <c r="N260" s="259"/>
    </row>
    <row r="261" spans="2:14" x14ac:dyDescent="0.15">
      <c r="B261" s="64"/>
      <c r="C261" s="42"/>
      <c r="D261" s="233"/>
      <c r="E261" s="233"/>
      <c r="F261" s="233"/>
      <c r="G261" s="98"/>
      <c r="H261" s="15"/>
      <c r="I261" s="98"/>
      <c r="J261" s="98"/>
      <c r="K261" s="157"/>
      <c r="L261" s="258"/>
      <c r="M261" s="258"/>
      <c r="N261" s="259"/>
    </row>
    <row r="262" spans="2:14" x14ac:dyDescent="0.15">
      <c r="B262" s="64"/>
      <c r="C262" s="42"/>
      <c r="D262" s="233"/>
      <c r="E262" s="233"/>
      <c r="F262" s="233"/>
      <c r="G262" s="98"/>
      <c r="H262" s="15"/>
      <c r="I262" s="98"/>
      <c r="J262" s="98"/>
      <c r="K262" s="157"/>
      <c r="L262" s="258"/>
      <c r="M262" s="258"/>
      <c r="N262" s="259"/>
    </row>
    <row r="263" spans="2:14" ht="16" x14ac:dyDescent="0.2">
      <c r="B263" s="64"/>
      <c r="C263" s="277" t="s">
        <v>212</v>
      </c>
      <c r="D263" s="98"/>
      <c r="E263" s="260"/>
      <c r="F263" s="157"/>
      <c r="G263" s="98"/>
      <c r="H263" s="15"/>
      <c r="I263" s="98"/>
      <c r="J263" s="98"/>
      <c r="K263" s="157"/>
      <c r="L263" s="258"/>
      <c r="M263" s="258"/>
      <c r="N263" s="259"/>
    </row>
    <row r="264" spans="2:14" x14ac:dyDescent="0.15">
      <c r="B264" s="64"/>
      <c r="C264" s="15"/>
      <c r="D264" s="98"/>
      <c r="E264" s="260"/>
      <c r="F264" s="157"/>
      <c r="G264" s="98"/>
      <c r="H264" s="15"/>
      <c r="I264" s="98"/>
      <c r="J264" s="98"/>
      <c r="K264" s="157"/>
      <c r="L264" s="258"/>
      <c r="M264" s="258"/>
      <c r="N264" s="259"/>
    </row>
    <row r="265" spans="2:14" x14ac:dyDescent="0.15">
      <c r="B265" s="64"/>
      <c r="C265" s="15"/>
      <c r="D265" s="98"/>
      <c r="E265" s="260"/>
      <c r="F265" s="157"/>
      <c r="G265" s="98"/>
      <c r="H265" s="15"/>
      <c r="I265" s="98"/>
      <c r="J265" s="98"/>
      <c r="K265" s="157"/>
      <c r="L265" s="258"/>
      <c r="M265" s="258"/>
      <c r="N265" s="259"/>
    </row>
    <row r="266" spans="2:14" x14ac:dyDescent="0.15">
      <c r="B266" s="64"/>
      <c r="C266" s="222" t="s">
        <v>209</v>
      </c>
      <c r="D266" s="169" t="s">
        <v>101</v>
      </c>
      <c r="E266" s="231" t="s">
        <v>102</v>
      </c>
      <c r="F266" s="232" t="s">
        <v>103</v>
      </c>
      <c r="G266" s="170" t="s">
        <v>104</v>
      </c>
      <c r="H266" s="189" t="s">
        <v>219</v>
      </c>
      <c r="I266" s="98"/>
      <c r="J266" s="98"/>
      <c r="K266" s="157"/>
      <c r="L266" s="258"/>
      <c r="M266" s="258"/>
      <c r="N266" s="259"/>
    </row>
    <row r="267" spans="2:14" x14ac:dyDescent="0.15">
      <c r="B267" s="267">
        <v>1</v>
      </c>
      <c r="C267" s="223" t="s">
        <v>213</v>
      </c>
      <c r="D267" s="155">
        <f>COUNTIFS($H$6:$H$69,Tableau8[[#Headers],[Ouvrier]],$R$6:$R$69,B267)</f>
        <v>6</v>
      </c>
      <c r="E267" s="98">
        <f>COUNTIFS($H$6:$H$69,Tableau8[[#Headers],[Employé]],$R$6:$R$69,$B267)</f>
        <v>5</v>
      </c>
      <c r="F267" s="98">
        <f>COUNTIFS($H$6:$H$69,Tableau8[[#Headers],[Cadre]],$R$6:$R$69,$B267)</f>
        <v>3</v>
      </c>
      <c r="G267" s="99">
        <f>COUNTIFS($H$6:$H$69,Tableau8[[#Headers],[Directeur]],$R$6:$R$69,$B267)</f>
        <v>0</v>
      </c>
      <c r="H267" s="95">
        <f>SUM(Tableau8[[#This Row],[Ouvrier]:[Directeur]])</f>
        <v>14</v>
      </c>
      <c r="I267" s="98"/>
      <c r="J267" s="98"/>
      <c r="K267" s="157"/>
      <c r="L267" s="258"/>
      <c r="M267" s="258"/>
      <c r="N267" s="259"/>
    </row>
    <row r="268" spans="2:14" x14ac:dyDescent="0.15">
      <c r="B268" s="267">
        <v>2</v>
      </c>
      <c r="C268" s="223" t="s">
        <v>214</v>
      </c>
      <c r="D268" s="155">
        <f>COUNTIFS($H$6:$H$69,Tableau8[[#Headers],[Ouvrier]],$R$6:$R$69,B268)</f>
        <v>9</v>
      </c>
      <c r="E268" s="233">
        <f>COUNTIFS($H$6:$H$69,Tableau8[[#Headers],[Employé]],$R$6:$R$69,$B268)</f>
        <v>6</v>
      </c>
      <c r="F268" s="98">
        <f>COUNTIFS($H$6:$H$69,Tableau8[[#Headers],[Cadre]],$R$6:$R$69,$B268)</f>
        <v>5</v>
      </c>
      <c r="G268" s="99">
        <f>COUNTIFS($H$6:$H$69,Tableau8[[#Headers],[Directeur]],$R$6:$R$69,$B268)</f>
        <v>2</v>
      </c>
      <c r="H268" s="95">
        <f>SUM(Tableau8[[#This Row],[Ouvrier]:[Directeur]])</f>
        <v>22</v>
      </c>
      <c r="I268" s="98"/>
      <c r="J268" s="98"/>
      <c r="K268" s="157"/>
      <c r="L268" s="258"/>
      <c r="M268" s="258"/>
      <c r="N268" s="259"/>
    </row>
    <row r="269" spans="2:14" x14ac:dyDescent="0.15">
      <c r="B269" s="267">
        <v>3</v>
      </c>
      <c r="C269" s="223" t="s">
        <v>215</v>
      </c>
      <c r="D269" s="155">
        <f>COUNTIFS($H$6:$H$69,Tableau8[[#Headers],[Ouvrier]],$R$6:$R$69,B269)</f>
        <v>5</v>
      </c>
      <c r="E269" s="233">
        <f>COUNTIFS($H$6:$H$69,Tableau8[[#Headers],[Employé]],$R$6:$R$69,$B269)</f>
        <v>6</v>
      </c>
      <c r="F269" s="98">
        <f>COUNTIFS($H$6:$H$69,Tableau8[[#Headers],[Cadre]],$R$6:$R$69,$B269)</f>
        <v>3</v>
      </c>
      <c r="G269" s="99">
        <f>COUNTIFS($H$6:$H$69,Tableau8[[#Headers],[Directeur]],$R$6:$R$69,$B269)</f>
        <v>0</v>
      </c>
      <c r="H269" s="95">
        <f>SUM(Tableau8[[#This Row],[Ouvrier]:[Directeur]])</f>
        <v>14</v>
      </c>
      <c r="I269" s="98"/>
      <c r="J269" s="98"/>
      <c r="K269" s="157"/>
      <c r="L269" s="258"/>
      <c r="M269" s="258"/>
      <c r="N269" s="259"/>
    </row>
    <row r="270" spans="2:14" x14ac:dyDescent="0.15">
      <c r="B270" s="267">
        <v>4</v>
      </c>
      <c r="C270" s="223" t="s">
        <v>216</v>
      </c>
      <c r="D270" s="155">
        <f>COUNTIFS($H$6:$H$69,Tableau8[[#Headers],[Ouvrier]],$R$6:$R$69,B270)</f>
        <v>5</v>
      </c>
      <c r="E270" s="233">
        <f>COUNTIFS($H$6:$H$69,Tableau8[[#Headers],[Employé]],$R$6:$R$69,$B270)</f>
        <v>1</v>
      </c>
      <c r="F270" s="98">
        <f>COUNTIFS($H$6:$H$69,Tableau8[[#Headers],[Cadre]],$R$6:$R$69,$B270)</f>
        <v>0</v>
      </c>
      <c r="G270" s="99">
        <f>COUNTIFS($H$6:$H$69,Tableau8[[#Headers],[Directeur]],$R$6:$R$69,$B270)</f>
        <v>1</v>
      </c>
      <c r="H270" s="95">
        <f>SUM(Tableau8[[#This Row],[Ouvrier]:[Directeur]])</f>
        <v>7</v>
      </c>
      <c r="I270" s="98"/>
      <c r="J270" s="98"/>
      <c r="K270" s="157"/>
      <c r="L270" s="258"/>
      <c r="M270" s="258"/>
      <c r="N270" s="259"/>
    </row>
    <row r="271" spans="2:14" x14ac:dyDescent="0.15">
      <c r="B271" s="267">
        <v>5</v>
      </c>
      <c r="C271" s="223" t="s">
        <v>217</v>
      </c>
      <c r="D271" s="155">
        <f>COUNTIFS($H$6:$H$69,Tableau8[[#Headers],[Ouvrier]],$R$6:$R$69,B271)</f>
        <v>2</v>
      </c>
      <c r="E271" s="233">
        <f>COUNTIFS($H$6:$H$69,Tableau8[[#Headers],[Employé]],$R$6:$R$69,$B271)</f>
        <v>1</v>
      </c>
      <c r="F271" s="98">
        <f>COUNTIFS($H$6:$H$69,Tableau8[[#Headers],[Cadre]],$R$6:$R$69,$B271)</f>
        <v>2</v>
      </c>
      <c r="G271" s="99">
        <f>COUNTIFS($H$6:$H$69,Tableau8[[#Headers],[Directeur]],$R$6:$R$69,$B271)</f>
        <v>1</v>
      </c>
      <c r="H271" s="95">
        <f>SUM(Tableau8[[#This Row],[Ouvrier]:[Directeur]])</f>
        <v>6</v>
      </c>
      <c r="I271" s="98"/>
      <c r="J271" s="98"/>
      <c r="K271" s="157"/>
      <c r="L271" s="258"/>
      <c r="M271" s="258"/>
      <c r="N271" s="259"/>
    </row>
    <row r="272" spans="2:14" x14ac:dyDescent="0.15">
      <c r="B272" s="267">
        <v>6</v>
      </c>
      <c r="C272" s="223" t="s">
        <v>218</v>
      </c>
      <c r="D272" s="106">
        <f>COUNTIFS($H$6:$H$69,Tableau8[[#Headers],[Ouvrier]],$R$6:$R$69,B272)</f>
        <v>1</v>
      </c>
      <c r="E272" s="234">
        <f>COUNTIFS($H$6:$H$69,Tableau8[[#Headers],[Employé]],$R$6:$R$69,$B272)</f>
        <v>0</v>
      </c>
      <c r="F272" s="100">
        <f>COUNTIFS($H$6:$H$69,Tableau8[[#Headers],[Cadre]],$R$6:$R$69,$B272)</f>
        <v>0</v>
      </c>
      <c r="G272" s="101">
        <f>COUNTIFS($H$6:$H$69,Tableau8[[#Headers],[Directeur]],$R$6:$R$69,$B272)</f>
        <v>0</v>
      </c>
      <c r="H272" s="95">
        <f>SUM(Tableau8[[#This Row],[Ouvrier]:[Directeur]])</f>
        <v>1</v>
      </c>
      <c r="I272" s="98"/>
      <c r="J272" s="98"/>
      <c r="K272" s="157"/>
      <c r="L272" s="258"/>
      <c r="M272" s="258"/>
      <c r="N272" s="259"/>
    </row>
    <row r="273" spans="2:14" x14ac:dyDescent="0.15">
      <c r="B273" s="64"/>
      <c r="C273" s="191" t="s">
        <v>195</v>
      </c>
      <c r="D273" s="196">
        <f>SUM(D267:D272)</f>
        <v>28</v>
      </c>
      <c r="E273" s="196">
        <f>SUM(E267:E272)</f>
        <v>19</v>
      </c>
      <c r="F273" s="196">
        <f>SUM(F267:F272)</f>
        <v>13</v>
      </c>
      <c r="G273" s="196">
        <f>SUM(G267:G272)</f>
        <v>4</v>
      </c>
      <c r="H273" s="181">
        <f>SUM(H267:H272)</f>
        <v>64</v>
      </c>
      <c r="I273" s="98"/>
      <c r="J273" s="98"/>
      <c r="K273" s="157"/>
      <c r="L273" s="258"/>
      <c r="M273" s="258"/>
      <c r="N273" s="259"/>
    </row>
    <row r="274" spans="2:14" x14ac:dyDescent="0.15">
      <c r="B274" s="64"/>
      <c r="C274" s="15"/>
      <c r="D274" s="98"/>
      <c r="E274" s="260"/>
      <c r="F274" s="157"/>
      <c r="G274" s="98"/>
      <c r="H274" s="15"/>
      <c r="I274" s="98"/>
      <c r="J274" s="98"/>
      <c r="K274" s="157"/>
      <c r="L274" s="258"/>
      <c r="M274" s="258"/>
      <c r="N274" s="259"/>
    </row>
    <row r="275" spans="2:14" x14ac:dyDescent="0.15">
      <c r="B275" s="64"/>
      <c r="C275" s="15"/>
      <c r="D275" s="98"/>
      <c r="E275" s="260"/>
      <c r="F275" s="157"/>
      <c r="G275" s="98"/>
      <c r="H275" s="15"/>
      <c r="I275" s="98"/>
      <c r="J275" s="98"/>
      <c r="K275" s="157"/>
      <c r="L275" s="258"/>
      <c r="M275" s="258"/>
      <c r="N275" s="259"/>
    </row>
    <row r="276" spans="2:14" x14ac:dyDescent="0.15">
      <c r="B276" s="64"/>
      <c r="C276" s="15"/>
      <c r="D276" s="98"/>
      <c r="E276" s="260"/>
      <c r="F276" s="157"/>
      <c r="G276" s="98"/>
      <c r="H276" s="15"/>
      <c r="I276" s="98"/>
      <c r="J276" s="98"/>
      <c r="K276" s="157"/>
      <c r="L276" s="258"/>
      <c r="M276" s="258"/>
      <c r="N276" s="259"/>
    </row>
    <row r="277" spans="2:14" x14ac:dyDescent="0.15">
      <c r="B277" s="64"/>
      <c r="C277" s="15"/>
      <c r="D277" s="98"/>
      <c r="E277" s="260"/>
      <c r="F277" s="157"/>
      <c r="G277" s="98"/>
      <c r="H277" s="15"/>
      <c r="I277" s="98"/>
      <c r="J277" s="98"/>
      <c r="K277" s="157"/>
      <c r="L277" s="258"/>
      <c r="M277" s="258"/>
      <c r="N277" s="259"/>
    </row>
    <row r="278" spans="2:14" x14ac:dyDescent="0.15">
      <c r="B278" s="64"/>
      <c r="C278" s="15"/>
      <c r="D278" s="98"/>
      <c r="E278" s="260"/>
      <c r="F278" s="157"/>
      <c r="G278" s="98"/>
      <c r="H278" s="15"/>
      <c r="I278" s="98"/>
      <c r="J278" s="98"/>
      <c r="K278" s="157"/>
      <c r="L278" s="258"/>
      <c r="M278" s="258"/>
      <c r="N278" s="259"/>
    </row>
    <row r="279" spans="2:14" x14ac:dyDescent="0.15">
      <c r="B279" s="64"/>
      <c r="C279" s="15"/>
      <c r="D279" s="98"/>
      <c r="E279" s="260"/>
      <c r="F279" s="157"/>
      <c r="G279" s="98"/>
      <c r="H279" s="15"/>
      <c r="I279" s="98"/>
      <c r="J279" s="98"/>
      <c r="K279" s="157"/>
      <c r="L279" s="258"/>
      <c r="M279" s="258"/>
      <c r="N279" s="259"/>
    </row>
    <row r="280" spans="2:14" x14ac:dyDescent="0.15">
      <c r="B280" s="64"/>
      <c r="C280" s="15"/>
      <c r="D280" s="98"/>
      <c r="E280" s="260"/>
      <c r="F280" s="157"/>
      <c r="G280" s="98"/>
      <c r="H280" s="15"/>
      <c r="I280" s="98"/>
      <c r="J280" s="98"/>
      <c r="K280" s="157"/>
      <c r="L280" s="258"/>
      <c r="M280" s="258"/>
      <c r="N280" s="259"/>
    </row>
    <row r="281" spans="2:14" x14ac:dyDescent="0.15">
      <c r="B281" s="64"/>
      <c r="C281" s="15"/>
      <c r="D281" s="98"/>
      <c r="E281" s="260"/>
      <c r="F281" s="157"/>
      <c r="G281" s="98"/>
      <c r="H281" s="15"/>
      <c r="I281" s="98"/>
      <c r="J281" s="98"/>
      <c r="K281" s="157"/>
      <c r="L281" s="258"/>
      <c r="M281" s="258"/>
      <c r="N281" s="259"/>
    </row>
    <row r="282" spans="2:14" x14ac:dyDescent="0.15">
      <c r="B282" s="64"/>
      <c r="C282" s="15"/>
      <c r="D282" s="98"/>
      <c r="E282" s="260"/>
      <c r="F282" s="157"/>
      <c r="G282" s="98"/>
      <c r="H282" s="15"/>
      <c r="I282" s="98"/>
      <c r="J282" s="98"/>
      <c r="K282" s="157"/>
      <c r="L282" s="258"/>
      <c r="M282" s="258"/>
      <c r="N282" s="259"/>
    </row>
    <row r="283" spans="2:14" x14ac:dyDescent="0.15">
      <c r="B283" s="64"/>
      <c r="C283" s="15"/>
      <c r="D283" s="98"/>
      <c r="E283" s="260"/>
      <c r="F283" s="157"/>
      <c r="G283" s="98"/>
      <c r="H283" s="15"/>
      <c r="I283" s="98"/>
      <c r="J283" s="98"/>
      <c r="K283" s="157"/>
      <c r="L283" s="258"/>
      <c r="M283" s="258"/>
      <c r="N283" s="259"/>
    </row>
    <row r="284" spans="2:14" x14ac:dyDescent="0.15">
      <c r="B284" s="64"/>
      <c r="C284" s="15"/>
      <c r="D284" s="98"/>
      <c r="E284" s="260"/>
      <c r="F284" s="157"/>
      <c r="G284" s="98"/>
      <c r="H284" s="15"/>
      <c r="I284" s="98"/>
      <c r="J284" s="98"/>
      <c r="K284" s="157"/>
      <c r="L284" s="258"/>
      <c r="M284" s="258"/>
      <c r="N284" s="259"/>
    </row>
    <row r="285" spans="2:14" x14ac:dyDescent="0.15">
      <c r="B285" s="64"/>
      <c r="C285" s="15"/>
      <c r="D285" s="98"/>
      <c r="E285" s="260"/>
      <c r="F285" s="157"/>
      <c r="G285" s="98"/>
      <c r="H285" s="15"/>
      <c r="I285" s="98"/>
      <c r="J285" s="98"/>
      <c r="K285" s="157"/>
      <c r="L285" s="258"/>
      <c r="M285" s="258"/>
      <c r="N285" s="259"/>
    </row>
    <row r="286" spans="2:14" x14ac:dyDescent="0.15">
      <c r="B286" s="64"/>
      <c r="C286" s="15"/>
      <c r="D286" s="98"/>
      <c r="E286" s="260"/>
      <c r="F286" s="157"/>
      <c r="G286" s="98"/>
      <c r="H286" s="15"/>
      <c r="I286" s="98"/>
      <c r="J286" s="98"/>
      <c r="K286" s="157"/>
      <c r="L286" s="258"/>
      <c r="M286" s="258"/>
      <c r="N286" s="259"/>
    </row>
    <row r="287" spans="2:14" x14ac:dyDescent="0.15">
      <c r="B287" s="64"/>
      <c r="C287" s="15"/>
      <c r="D287" s="98"/>
      <c r="E287" s="260"/>
      <c r="F287" s="157"/>
      <c r="G287" s="98"/>
      <c r="H287" s="15"/>
      <c r="I287" s="98"/>
      <c r="J287" s="98"/>
      <c r="K287" s="157"/>
      <c r="L287" s="258"/>
      <c r="M287" s="258"/>
      <c r="N287" s="259"/>
    </row>
    <row r="288" spans="2:14" x14ac:dyDescent="0.15">
      <c r="B288" s="64"/>
      <c r="C288" s="15"/>
      <c r="D288" s="98"/>
      <c r="E288" s="260"/>
      <c r="F288" s="157"/>
      <c r="G288" s="98"/>
      <c r="H288" s="15"/>
      <c r="I288" s="98"/>
      <c r="J288" s="98"/>
      <c r="K288" s="157"/>
      <c r="L288" s="258"/>
      <c r="M288" s="258"/>
      <c r="N288" s="259"/>
    </row>
    <row r="289" spans="2:14" x14ac:dyDescent="0.15">
      <c r="B289" s="64"/>
      <c r="C289" s="15"/>
      <c r="D289" s="98"/>
      <c r="E289" s="260"/>
      <c r="F289" s="157"/>
      <c r="G289" s="98"/>
      <c r="H289" s="15"/>
      <c r="I289" s="98"/>
      <c r="J289" s="98"/>
      <c r="K289" s="157"/>
      <c r="L289" s="258"/>
      <c r="M289" s="258"/>
      <c r="N289" s="259"/>
    </row>
    <row r="290" spans="2:14" x14ac:dyDescent="0.15">
      <c r="B290" s="64"/>
      <c r="C290" s="15"/>
      <c r="D290" s="98"/>
      <c r="E290" s="260"/>
      <c r="F290" s="157"/>
      <c r="G290" s="98"/>
      <c r="H290" s="15"/>
      <c r="I290" s="98"/>
      <c r="J290" s="98"/>
      <c r="K290" s="157"/>
      <c r="L290" s="258"/>
      <c r="M290" s="258"/>
      <c r="N290" s="259"/>
    </row>
    <row r="291" spans="2:14" x14ac:dyDescent="0.15">
      <c r="B291" s="64"/>
      <c r="C291" s="15"/>
      <c r="D291" s="98"/>
      <c r="E291" s="260"/>
      <c r="F291" s="157"/>
      <c r="G291" s="98"/>
      <c r="H291" s="15"/>
      <c r="I291" s="98"/>
      <c r="J291" s="98"/>
      <c r="K291" s="157"/>
      <c r="L291" s="258"/>
      <c r="M291" s="258"/>
      <c r="N291" s="259"/>
    </row>
    <row r="292" spans="2:14" x14ac:dyDescent="0.15">
      <c r="B292" s="64"/>
      <c r="C292" s="15"/>
      <c r="D292" s="98"/>
      <c r="E292" s="260"/>
      <c r="F292" s="157"/>
      <c r="G292" s="98"/>
      <c r="H292" s="15"/>
      <c r="I292" s="98"/>
      <c r="J292" s="98"/>
      <c r="K292" s="157"/>
      <c r="L292" s="258"/>
      <c r="M292" s="258"/>
      <c r="N292" s="259"/>
    </row>
    <row r="293" spans="2:14" x14ac:dyDescent="0.15">
      <c r="B293" s="64"/>
      <c r="C293" s="15"/>
      <c r="D293" s="98"/>
      <c r="E293" s="260"/>
      <c r="F293" s="157"/>
      <c r="G293" s="98"/>
      <c r="H293" s="15"/>
      <c r="I293" s="98"/>
      <c r="J293" s="98"/>
      <c r="K293" s="157"/>
      <c r="L293" s="258"/>
      <c r="M293" s="258"/>
      <c r="N293" s="259"/>
    </row>
    <row r="294" spans="2:14" x14ac:dyDescent="0.15">
      <c r="B294" s="64"/>
      <c r="C294" s="15"/>
      <c r="D294" s="98"/>
      <c r="E294" s="260"/>
      <c r="F294" s="157"/>
      <c r="G294" s="98"/>
      <c r="H294" s="15"/>
      <c r="I294" s="98"/>
      <c r="J294" s="98"/>
      <c r="K294" s="157"/>
      <c r="L294" s="258"/>
      <c r="M294" s="258"/>
      <c r="N294" s="259"/>
    </row>
    <row r="295" spans="2:14" x14ac:dyDescent="0.15">
      <c r="B295" s="64"/>
      <c r="C295" s="15"/>
      <c r="D295" s="98"/>
      <c r="E295" s="260"/>
      <c r="F295" s="157"/>
      <c r="G295" s="98"/>
      <c r="H295" s="15"/>
      <c r="I295" s="98"/>
      <c r="J295" s="98"/>
      <c r="K295" s="157"/>
      <c r="L295" s="258"/>
      <c r="M295" s="258"/>
      <c r="N295" s="259"/>
    </row>
    <row r="296" spans="2:14" ht="23" x14ac:dyDescent="0.25">
      <c r="B296" s="64"/>
      <c r="C296" s="275" t="s">
        <v>220</v>
      </c>
      <c r="D296" s="98"/>
      <c r="E296" s="260"/>
      <c r="F296" s="157"/>
      <c r="G296" s="98"/>
      <c r="H296" s="15"/>
      <c r="I296" s="98"/>
      <c r="J296" s="98"/>
      <c r="K296" s="157"/>
      <c r="L296" s="258"/>
      <c r="M296" s="258"/>
      <c r="N296" s="259"/>
    </row>
    <row r="297" spans="2:14" x14ac:dyDescent="0.15">
      <c r="B297" s="64"/>
      <c r="C297" s="15"/>
      <c r="D297" s="98"/>
      <c r="E297" s="260"/>
      <c r="F297" s="157"/>
      <c r="G297" s="98"/>
      <c r="H297" s="15"/>
      <c r="I297" s="98"/>
      <c r="J297" s="98"/>
      <c r="K297" s="157"/>
      <c r="L297" s="258"/>
      <c r="M297" s="258"/>
      <c r="N297" s="259"/>
    </row>
    <row r="298" spans="2:14" ht="16" x14ac:dyDescent="0.2">
      <c r="B298" s="64"/>
      <c r="C298" s="277" t="s">
        <v>223</v>
      </c>
      <c r="D298" s="98"/>
      <c r="E298" s="260"/>
      <c r="F298" s="157"/>
      <c r="G298" s="98"/>
      <c r="H298" s="15"/>
      <c r="I298" s="98"/>
      <c r="J298" s="98"/>
      <c r="K298" s="157"/>
      <c r="L298" s="258"/>
      <c r="M298" s="258"/>
      <c r="N298" s="259"/>
    </row>
    <row r="299" spans="2:14" x14ac:dyDescent="0.15">
      <c r="B299" s="64"/>
      <c r="C299" s="15"/>
      <c r="D299" s="98"/>
      <c r="E299" s="260"/>
      <c r="F299" s="157"/>
      <c r="G299" s="98"/>
      <c r="H299" s="15"/>
      <c r="I299" s="98"/>
      <c r="J299" s="98"/>
      <c r="K299" s="157"/>
      <c r="L299" s="258"/>
      <c r="M299" s="258"/>
      <c r="N299" s="259"/>
    </row>
    <row r="300" spans="2:14" x14ac:dyDescent="0.15">
      <c r="B300" s="64"/>
      <c r="C300" s="189" t="s">
        <v>222</v>
      </c>
      <c r="D300" s="192" t="s">
        <v>190</v>
      </c>
      <c r="E300" s="240"/>
      <c r="F300" s="157"/>
      <c r="G300" s="98"/>
      <c r="H300" s="15"/>
      <c r="I300" s="98"/>
      <c r="J300" s="98"/>
      <c r="K300" s="157"/>
      <c r="L300" s="258"/>
      <c r="M300" s="258"/>
      <c r="N300" s="259"/>
    </row>
    <row r="301" spans="2:14" x14ac:dyDescent="0.15">
      <c r="B301" s="64"/>
      <c r="C301" s="190" t="s">
        <v>9</v>
      </c>
      <c r="D301" s="95">
        <v>1</v>
      </c>
      <c r="E301" s="260"/>
      <c r="F301" s="157"/>
      <c r="G301" s="98"/>
      <c r="H301" s="15"/>
      <c r="I301" s="98"/>
      <c r="J301" s="98"/>
      <c r="K301" s="157"/>
      <c r="L301" s="258"/>
      <c r="M301" s="258"/>
      <c r="N301" s="259"/>
    </row>
    <row r="302" spans="2:14" x14ac:dyDescent="0.15">
      <c r="B302" s="64"/>
      <c r="C302" s="193" t="s">
        <v>8</v>
      </c>
      <c r="D302" s="96">
        <v>3</v>
      </c>
      <c r="E302" s="260"/>
      <c r="F302" s="157"/>
      <c r="G302" s="98"/>
      <c r="H302" s="15"/>
      <c r="I302" s="98"/>
      <c r="J302" s="98"/>
      <c r="K302" s="157"/>
      <c r="L302" s="258"/>
      <c r="M302" s="258"/>
      <c r="N302" s="259"/>
    </row>
    <row r="303" spans="2:14" x14ac:dyDescent="0.15">
      <c r="B303" s="64"/>
      <c r="C303" s="187" t="s">
        <v>195</v>
      </c>
      <c r="D303" s="188">
        <f>SUM(D301:D302)</f>
        <v>4</v>
      </c>
      <c r="E303" s="260"/>
      <c r="F303" s="157"/>
      <c r="G303" s="98"/>
      <c r="H303" s="15"/>
      <c r="I303" s="98"/>
      <c r="J303" s="98"/>
      <c r="K303" s="157"/>
      <c r="L303" s="258"/>
      <c r="M303" s="258"/>
      <c r="N303" s="259"/>
    </row>
    <row r="304" spans="2:14" x14ac:dyDescent="0.15">
      <c r="B304" s="64"/>
      <c r="C304" s="15"/>
      <c r="D304" s="98"/>
      <c r="E304" s="260"/>
      <c r="F304" s="157"/>
      <c r="G304" s="98"/>
      <c r="H304" s="15"/>
      <c r="I304" s="98"/>
      <c r="J304" s="98"/>
      <c r="K304" s="157"/>
      <c r="L304" s="258"/>
      <c r="M304" s="258"/>
      <c r="N304" s="259"/>
    </row>
    <row r="305" spans="2:14" ht="16" x14ac:dyDescent="0.2">
      <c r="B305" s="64"/>
      <c r="C305" s="277" t="s">
        <v>224</v>
      </c>
      <c r="D305" s="98"/>
      <c r="E305" s="260"/>
      <c r="F305" s="157"/>
      <c r="G305" s="98"/>
      <c r="H305" s="15"/>
      <c r="I305" s="98"/>
      <c r="J305" s="98"/>
      <c r="K305" s="157"/>
      <c r="L305" s="258"/>
      <c r="M305" s="258"/>
      <c r="N305" s="259"/>
    </row>
    <row r="306" spans="2:14" x14ac:dyDescent="0.15">
      <c r="B306" s="64"/>
      <c r="C306" s="15"/>
      <c r="D306" s="98"/>
      <c r="E306" s="260"/>
      <c r="F306" s="157"/>
      <c r="G306" s="98"/>
      <c r="H306" s="15"/>
      <c r="I306" s="98"/>
      <c r="J306" s="98"/>
      <c r="K306" s="157"/>
      <c r="L306" s="258"/>
      <c r="M306" s="258"/>
      <c r="N306" s="259"/>
    </row>
    <row r="307" spans="2:14" x14ac:dyDescent="0.15">
      <c r="B307" s="64"/>
      <c r="C307" s="15"/>
      <c r="D307" s="98"/>
      <c r="E307" s="260"/>
      <c r="F307" s="157"/>
      <c r="G307" s="98"/>
      <c r="H307" s="15"/>
      <c r="I307" s="98"/>
      <c r="J307" s="98"/>
      <c r="K307" s="157"/>
      <c r="L307" s="258"/>
      <c r="M307" s="258"/>
      <c r="N307" s="259"/>
    </row>
    <row r="308" spans="2:14" x14ac:dyDescent="0.15">
      <c r="B308" s="64"/>
      <c r="C308" s="189" t="s">
        <v>5</v>
      </c>
      <c r="D308" s="239" t="s">
        <v>225</v>
      </c>
      <c r="E308" s="260"/>
      <c r="F308" s="157"/>
      <c r="G308" s="98"/>
      <c r="H308" s="15"/>
      <c r="I308" s="98"/>
      <c r="J308" s="98"/>
      <c r="K308" s="157"/>
      <c r="L308" s="258"/>
      <c r="M308" s="258"/>
      <c r="N308" s="259"/>
    </row>
    <row r="309" spans="2:14" x14ac:dyDescent="0.15">
      <c r="B309" s="64"/>
      <c r="C309" s="190" t="s">
        <v>101</v>
      </c>
      <c r="D309" s="98">
        <v>2</v>
      </c>
      <c r="E309" s="260"/>
      <c r="F309" s="157"/>
      <c r="G309" s="98"/>
      <c r="H309" s="15"/>
      <c r="I309" s="98"/>
      <c r="J309" s="98"/>
      <c r="K309" s="157"/>
      <c r="L309" s="258"/>
      <c r="M309" s="258"/>
      <c r="N309" s="259"/>
    </row>
    <row r="310" spans="2:14" x14ac:dyDescent="0.15">
      <c r="B310" s="64"/>
      <c r="C310" s="190" t="s">
        <v>102</v>
      </c>
      <c r="D310" s="98">
        <v>1</v>
      </c>
      <c r="E310" s="260"/>
      <c r="F310" s="157"/>
      <c r="G310" s="98"/>
      <c r="H310" s="15"/>
      <c r="I310" s="98"/>
      <c r="J310" s="98"/>
      <c r="K310" s="157"/>
      <c r="L310" s="258"/>
      <c r="M310" s="258"/>
      <c r="N310" s="259"/>
    </row>
    <row r="311" spans="2:14" x14ac:dyDescent="0.15">
      <c r="B311" s="64"/>
      <c r="C311" s="190" t="s">
        <v>103</v>
      </c>
      <c r="D311" s="98">
        <v>1</v>
      </c>
      <c r="E311" s="260"/>
      <c r="F311" s="157"/>
      <c r="G311" s="98"/>
      <c r="H311" s="15"/>
      <c r="I311" s="98"/>
      <c r="J311" s="98"/>
      <c r="K311" s="157"/>
      <c r="L311" s="258"/>
      <c r="M311" s="258"/>
      <c r="N311" s="259"/>
    </row>
    <row r="312" spans="2:14" x14ac:dyDescent="0.15">
      <c r="B312" s="64"/>
      <c r="C312" s="193" t="s">
        <v>104</v>
      </c>
      <c r="D312" s="98">
        <v>0</v>
      </c>
      <c r="E312" s="260"/>
      <c r="F312" s="157"/>
      <c r="G312" s="98"/>
      <c r="H312" s="15"/>
      <c r="I312" s="98"/>
      <c r="J312" s="98"/>
      <c r="K312" s="157"/>
      <c r="L312" s="258"/>
      <c r="M312" s="258"/>
      <c r="N312" s="259"/>
    </row>
    <row r="313" spans="2:14" x14ac:dyDescent="0.15">
      <c r="B313" s="64"/>
      <c r="C313" s="225" t="s">
        <v>195</v>
      </c>
      <c r="D313" s="226">
        <f>SUM(D309:D312)</f>
        <v>4</v>
      </c>
      <c r="E313" s="260"/>
      <c r="F313" s="157"/>
      <c r="G313" s="98"/>
      <c r="H313" s="15"/>
      <c r="I313" s="98"/>
      <c r="J313" s="98"/>
      <c r="K313" s="157"/>
      <c r="L313" s="258"/>
      <c r="M313" s="258"/>
      <c r="N313" s="259"/>
    </row>
    <row r="314" spans="2:14" x14ac:dyDescent="0.15">
      <c r="B314" s="64"/>
      <c r="C314" s="15"/>
      <c r="D314" s="98"/>
      <c r="E314" s="260"/>
      <c r="F314" s="157"/>
      <c r="G314" s="98"/>
      <c r="H314" s="15"/>
      <c r="I314" s="98"/>
      <c r="J314" s="98"/>
      <c r="K314" s="157"/>
      <c r="L314" s="258"/>
      <c r="M314" s="258"/>
      <c r="N314" s="259"/>
    </row>
    <row r="315" spans="2:14" x14ac:dyDescent="0.15">
      <c r="B315" s="64"/>
      <c r="C315" s="15"/>
      <c r="D315" s="98"/>
      <c r="E315" s="260"/>
      <c r="F315" s="157"/>
      <c r="G315" s="98"/>
      <c r="H315" s="15"/>
      <c r="I315" s="98"/>
      <c r="J315" s="98"/>
      <c r="K315" s="157"/>
      <c r="L315" s="258"/>
      <c r="M315" s="258"/>
      <c r="N315" s="259"/>
    </row>
    <row r="316" spans="2:14" ht="23" x14ac:dyDescent="0.25">
      <c r="B316" s="64"/>
      <c r="C316" s="275" t="s">
        <v>226</v>
      </c>
      <c r="D316" s="98"/>
      <c r="E316" s="260"/>
      <c r="F316" s="157"/>
      <c r="G316" s="98"/>
      <c r="H316" s="15"/>
      <c r="I316" s="98"/>
      <c r="J316" s="98"/>
      <c r="K316" s="157"/>
      <c r="L316" s="258"/>
      <c r="M316" s="258"/>
      <c r="N316" s="259"/>
    </row>
    <row r="317" spans="2:14" x14ac:dyDescent="0.15">
      <c r="B317" s="64"/>
      <c r="C317" s="15"/>
      <c r="D317" s="98"/>
      <c r="E317" s="260"/>
      <c r="F317" s="157"/>
      <c r="G317" s="98"/>
      <c r="H317" s="15"/>
      <c r="I317" s="98"/>
      <c r="J317" s="98"/>
      <c r="K317" s="157"/>
      <c r="L317" s="258"/>
      <c r="M317" s="258"/>
      <c r="N317" s="259"/>
    </row>
    <row r="318" spans="2:14" ht="16" x14ac:dyDescent="0.2">
      <c r="B318" s="64"/>
      <c r="C318" s="277" t="s">
        <v>227</v>
      </c>
      <c r="D318" s="98"/>
      <c r="E318" s="260"/>
      <c r="F318" s="157"/>
      <c r="G318" s="98"/>
      <c r="H318" s="15"/>
      <c r="I318" s="98"/>
      <c r="J318" s="98"/>
      <c r="K318" s="157"/>
      <c r="L318" s="258"/>
      <c r="M318" s="258"/>
      <c r="N318" s="259"/>
    </row>
    <row r="319" spans="2:14" x14ac:dyDescent="0.15">
      <c r="B319" s="64"/>
      <c r="C319" s="15"/>
      <c r="D319" s="98"/>
      <c r="E319" s="260"/>
      <c r="F319" s="157"/>
      <c r="G319" s="98"/>
      <c r="H319" s="15"/>
      <c r="I319" s="98"/>
      <c r="J319" s="98"/>
      <c r="K319" s="157"/>
      <c r="L319" s="258"/>
      <c r="M319" s="258"/>
      <c r="N319" s="259"/>
    </row>
    <row r="320" spans="2:14" x14ac:dyDescent="0.15">
      <c r="B320" s="64"/>
      <c r="C320" s="189" t="s">
        <v>228</v>
      </c>
      <c r="D320" s="192" t="s">
        <v>225</v>
      </c>
      <c r="E320" s="260"/>
      <c r="F320" s="157"/>
      <c r="G320" s="98"/>
      <c r="H320" s="15"/>
      <c r="I320" s="98"/>
      <c r="J320" s="98"/>
      <c r="K320" s="157"/>
      <c r="L320" s="258"/>
      <c r="M320" s="258"/>
      <c r="N320" s="259"/>
    </row>
    <row r="321" spans="2:14" x14ac:dyDescent="0.15">
      <c r="B321" s="64"/>
      <c r="C321" s="190" t="s">
        <v>9</v>
      </c>
      <c r="D321" s="95">
        <f>COUNTIF(D70:D85,Tableau11[[#This Row],[Genre ]])</f>
        <v>9</v>
      </c>
      <c r="E321" s="260"/>
      <c r="F321" s="157"/>
      <c r="G321" s="98"/>
      <c r="H321" s="15"/>
      <c r="I321" s="98"/>
      <c r="J321" s="98"/>
      <c r="K321" s="157"/>
      <c r="L321" s="258"/>
      <c r="M321" s="258"/>
      <c r="N321" s="259"/>
    </row>
    <row r="322" spans="2:14" x14ac:dyDescent="0.15">
      <c r="B322" s="64"/>
      <c r="C322" s="193" t="s">
        <v>8</v>
      </c>
      <c r="D322" s="96">
        <f>COUNTIF(D71:D86,Tableau11[[#This Row],[Genre ]])</f>
        <v>7</v>
      </c>
      <c r="E322" s="260"/>
      <c r="F322" s="157"/>
      <c r="G322" s="98"/>
      <c r="H322" s="15"/>
      <c r="I322" s="98"/>
      <c r="J322" s="98"/>
      <c r="K322" s="157"/>
      <c r="L322" s="258"/>
      <c r="M322" s="258"/>
      <c r="N322" s="259"/>
    </row>
    <row r="323" spans="2:14" x14ac:dyDescent="0.15">
      <c r="B323" s="64"/>
      <c r="C323" s="187" t="s">
        <v>195</v>
      </c>
      <c r="D323" s="188">
        <f>SUM(D321:D322)</f>
        <v>16</v>
      </c>
      <c r="E323" s="260"/>
      <c r="F323" s="157"/>
      <c r="G323" s="98"/>
      <c r="H323" s="15"/>
      <c r="I323" s="98"/>
      <c r="J323" s="98"/>
      <c r="K323" s="157"/>
      <c r="L323" s="258"/>
      <c r="M323" s="258"/>
      <c r="N323" s="259"/>
    </row>
    <row r="324" spans="2:14" x14ac:dyDescent="0.15">
      <c r="B324" s="64"/>
      <c r="C324" s="15"/>
      <c r="D324" s="98"/>
      <c r="E324" s="260"/>
      <c r="F324" s="157"/>
      <c r="G324" s="98"/>
      <c r="H324" s="15"/>
      <c r="I324" s="98"/>
      <c r="J324" s="98"/>
      <c r="K324" s="157"/>
      <c r="L324" s="258"/>
      <c r="M324" s="258"/>
      <c r="N324" s="259"/>
    </row>
    <row r="325" spans="2:14" x14ac:dyDescent="0.15">
      <c r="B325" s="64"/>
      <c r="C325" s="15"/>
      <c r="D325" s="98"/>
      <c r="E325" s="260"/>
      <c r="F325" s="157"/>
      <c r="G325" s="98"/>
      <c r="H325" s="15"/>
      <c r="I325" s="98"/>
      <c r="J325" s="98"/>
      <c r="K325" s="157"/>
      <c r="L325" s="258"/>
      <c r="M325" s="258"/>
      <c r="N325" s="259"/>
    </row>
    <row r="326" spans="2:14" ht="16" x14ac:dyDescent="0.2">
      <c r="B326" s="64"/>
      <c r="C326" s="277" t="s">
        <v>229</v>
      </c>
      <c r="D326" s="98"/>
      <c r="E326" s="260"/>
      <c r="F326" s="157"/>
      <c r="G326" s="98"/>
      <c r="H326" s="15"/>
      <c r="I326" s="98"/>
      <c r="J326" s="98"/>
      <c r="K326" s="157"/>
      <c r="L326" s="258"/>
      <c r="M326" s="258"/>
      <c r="N326" s="259"/>
    </row>
    <row r="327" spans="2:14" x14ac:dyDescent="0.15">
      <c r="B327" s="64"/>
      <c r="C327" s="15"/>
      <c r="D327" s="98"/>
      <c r="E327" s="260"/>
      <c r="F327" s="157"/>
      <c r="G327" s="98"/>
      <c r="H327" s="15"/>
      <c r="I327" s="98"/>
      <c r="J327" s="98"/>
      <c r="K327" s="157"/>
      <c r="L327" s="258"/>
      <c r="M327" s="258"/>
      <c r="N327" s="259"/>
    </row>
    <row r="328" spans="2:14" x14ac:dyDescent="0.15">
      <c r="B328" s="64"/>
      <c r="C328" s="15"/>
      <c r="D328" s="98"/>
      <c r="E328" s="260"/>
      <c r="F328" s="157"/>
      <c r="G328" s="98"/>
      <c r="H328" s="15"/>
      <c r="I328" s="98"/>
      <c r="J328" s="98"/>
      <c r="K328" s="157"/>
      <c r="L328" s="258"/>
      <c r="M328" s="258"/>
      <c r="N328" s="259"/>
    </row>
    <row r="329" spans="2:14" x14ac:dyDescent="0.15">
      <c r="B329" s="64"/>
      <c r="C329" s="189" t="s">
        <v>230</v>
      </c>
      <c r="D329" s="192" t="s">
        <v>225</v>
      </c>
      <c r="E329" s="260"/>
      <c r="F329" s="157"/>
      <c r="G329" s="98"/>
      <c r="H329" s="15"/>
      <c r="I329" s="98"/>
      <c r="J329" s="98"/>
      <c r="K329" s="157"/>
      <c r="L329" s="258"/>
      <c r="M329" s="258"/>
      <c r="N329" s="259"/>
    </row>
    <row r="330" spans="2:14" x14ac:dyDescent="0.15">
      <c r="B330" s="64"/>
      <c r="C330" s="190" t="s">
        <v>94</v>
      </c>
      <c r="D330" s="95">
        <f>COUNTIF($O$70:$O$85,Tableau12[[#This Row],[Motifs ]])</f>
        <v>2</v>
      </c>
      <c r="E330" s="260"/>
      <c r="F330" s="157"/>
      <c r="G330" s="98"/>
      <c r="H330" s="15"/>
      <c r="I330" s="98"/>
      <c r="J330" s="98"/>
      <c r="K330" s="157"/>
      <c r="L330" s="258"/>
      <c r="M330" s="258"/>
      <c r="N330" s="259"/>
    </row>
    <row r="331" spans="2:14" x14ac:dyDescent="0.15">
      <c r="B331" s="64"/>
      <c r="C331" s="223" t="s">
        <v>95</v>
      </c>
      <c r="D331" s="95">
        <f>COUNTIF($O$70:$O$85,Tableau12[[#This Row],[Motifs ]])</f>
        <v>6</v>
      </c>
      <c r="E331" s="260"/>
      <c r="F331" s="157"/>
      <c r="G331" s="98"/>
      <c r="H331" s="15"/>
      <c r="I331" s="98"/>
      <c r="J331" s="98"/>
      <c r="K331" s="157"/>
      <c r="L331" s="258"/>
      <c r="M331" s="258"/>
      <c r="N331" s="259"/>
    </row>
    <row r="332" spans="2:14" x14ac:dyDescent="0.15">
      <c r="B332" s="64"/>
      <c r="C332" s="223" t="s">
        <v>96</v>
      </c>
      <c r="D332" s="95">
        <f>COUNTIF($O$70:$O$85,Tableau12[[#This Row],[Motifs ]])</f>
        <v>2</v>
      </c>
      <c r="E332" s="260"/>
      <c r="F332" s="157"/>
      <c r="G332" s="98"/>
      <c r="H332" s="15"/>
      <c r="I332" s="98"/>
      <c r="J332" s="98"/>
      <c r="K332" s="157"/>
      <c r="L332" s="258"/>
      <c r="M332" s="258"/>
      <c r="N332" s="259"/>
    </row>
    <row r="333" spans="2:14" x14ac:dyDescent="0.15">
      <c r="B333" s="64"/>
      <c r="C333" s="190" t="s">
        <v>97</v>
      </c>
      <c r="D333" s="95">
        <f>COUNTIF($O$70:$O$85,Tableau12[[#This Row],[Motifs ]])</f>
        <v>0</v>
      </c>
      <c r="E333" s="260"/>
      <c r="F333" s="157"/>
      <c r="G333" s="98"/>
      <c r="H333" s="15"/>
      <c r="I333" s="98"/>
      <c r="J333" s="98"/>
      <c r="K333" s="157"/>
      <c r="L333" s="258"/>
      <c r="M333" s="258"/>
      <c r="N333" s="259"/>
    </row>
    <row r="334" spans="2:14" x14ac:dyDescent="0.15">
      <c r="B334" s="64"/>
      <c r="C334" s="223" t="s">
        <v>98</v>
      </c>
      <c r="D334" s="95">
        <f>COUNTIF($O$70:$O$85,Tableau12[[#This Row],[Motifs ]])</f>
        <v>5</v>
      </c>
      <c r="E334" s="260"/>
      <c r="F334" s="157"/>
      <c r="G334" s="98"/>
      <c r="H334" s="15"/>
      <c r="I334" s="98"/>
      <c r="J334" s="98"/>
      <c r="K334" s="157"/>
      <c r="L334" s="258"/>
      <c r="M334" s="258"/>
      <c r="N334" s="259"/>
    </row>
    <row r="335" spans="2:14" x14ac:dyDescent="0.15">
      <c r="B335" s="64"/>
      <c r="C335" s="190" t="s">
        <v>99</v>
      </c>
      <c r="D335" s="95">
        <f>COUNTIF($O$70:$O$85,Tableau12[[#This Row],[Motifs ]])</f>
        <v>0</v>
      </c>
      <c r="E335" s="260"/>
      <c r="F335" s="157"/>
      <c r="G335" s="98"/>
      <c r="H335" s="15"/>
      <c r="I335" s="98"/>
      <c r="J335" s="98"/>
      <c r="K335" s="157"/>
      <c r="L335" s="258"/>
      <c r="M335" s="258"/>
      <c r="N335" s="259"/>
    </row>
    <row r="336" spans="2:14" x14ac:dyDescent="0.15">
      <c r="B336" s="64"/>
      <c r="C336" s="223" t="s">
        <v>100</v>
      </c>
      <c r="D336" s="96">
        <f>COUNTIF($O$70:$O$85,Tableau12[[#This Row],[Motifs ]])</f>
        <v>1</v>
      </c>
      <c r="E336" s="260"/>
      <c r="F336" s="157"/>
      <c r="G336" s="98"/>
      <c r="H336" s="15"/>
      <c r="I336" s="98"/>
      <c r="J336" s="98"/>
      <c r="K336" s="157"/>
      <c r="L336" s="258"/>
      <c r="M336" s="258"/>
      <c r="N336" s="259"/>
    </row>
    <row r="337" spans="2:14" x14ac:dyDescent="0.15">
      <c r="B337" s="64"/>
      <c r="C337" s="191" t="s">
        <v>195</v>
      </c>
      <c r="D337" s="188">
        <f>SUM(D330:D336)</f>
        <v>16</v>
      </c>
      <c r="E337" s="260"/>
      <c r="F337" s="157"/>
      <c r="G337" s="98"/>
      <c r="H337" s="15"/>
      <c r="I337" s="98"/>
      <c r="J337" s="98"/>
      <c r="K337" s="157"/>
      <c r="L337" s="258"/>
      <c r="M337" s="258"/>
      <c r="N337" s="259"/>
    </row>
    <row r="338" spans="2:14" x14ac:dyDescent="0.15">
      <c r="B338" s="64"/>
      <c r="C338" s="15"/>
      <c r="D338" s="98"/>
      <c r="E338" s="260"/>
      <c r="F338" s="157"/>
      <c r="G338" s="98"/>
      <c r="H338" s="15"/>
      <c r="I338" s="98"/>
      <c r="J338" s="98"/>
      <c r="K338" s="157"/>
      <c r="L338" s="258"/>
      <c r="M338" s="258"/>
      <c r="N338" s="259"/>
    </row>
    <row r="339" spans="2:14" x14ac:dyDescent="0.15">
      <c r="B339" s="64"/>
      <c r="C339" s="15"/>
      <c r="D339" s="98"/>
      <c r="E339" s="260"/>
      <c r="F339" s="157"/>
      <c r="G339" s="98"/>
      <c r="H339" s="15"/>
      <c r="I339" s="98"/>
      <c r="J339" s="98"/>
      <c r="K339" s="157"/>
      <c r="L339" s="258"/>
      <c r="M339" s="258"/>
      <c r="N339" s="259"/>
    </row>
    <row r="340" spans="2:14" x14ac:dyDescent="0.15">
      <c r="B340" s="64"/>
      <c r="C340" s="15"/>
      <c r="D340" s="98"/>
      <c r="E340" s="260"/>
      <c r="F340" s="157"/>
      <c r="G340" s="98"/>
      <c r="H340" s="15"/>
      <c r="I340" s="98"/>
      <c r="J340" s="98"/>
      <c r="K340" s="157"/>
      <c r="L340" s="258"/>
      <c r="M340" s="258"/>
      <c r="N340" s="259"/>
    </row>
    <row r="341" spans="2:14" x14ac:dyDescent="0.15">
      <c r="B341" s="64"/>
      <c r="C341" s="15"/>
      <c r="D341" s="98"/>
      <c r="E341" s="260"/>
      <c r="F341" s="157"/>
      <c r="G341" s="98"/>
      <c r="H341" s="15"/>
      <c r="I341" s="98"/>
      <c r="J341" s="98"/>
      <c r="K341" s="157"/>
      <c r="L341" s="258"/>
      <c r="M341" s="258"/>
      <c r="N341" s="259"/>
    </row>
    <row r="342" spans="2:14" x14ac:dyDescent="0.15">
      <c r="B342" s="64"/>
      <c r="C342" s="15"/>
      <c r="D342" s="98"/>
      <c r="E342" s="260"/>
      <c r="F342" s="157"/>
      <c r="G342" s="98"/>
      <c r="H342" s="15"/>
      <c r="I342" s="98"/>
      <c r="J342" s="98"/>
      <c r="K342" s="157"/>
      <c r="L342" s="258"/>
      <c r="M342" s="258"/>
      <c r="N342" s="259"/>
    </row>
    <row r="343" spans="2:14" x14ac:dyDescent="0.15">
      <c r="B343" s="64"/>
      <c r="C343" s="15"/>
      <c r="D343" s="98"/>
      <c r="E343" s="260"/>
      <c r="F343" s="157"/>
      <c r="G343" s="98"/>
      <c r="H343" s="15"/>
      <c r="I343" s="98"/>
      <c r="J343" s="98"/>
      <c r="K343" s="157"/>
      <c r="L343" s="258"/>
      <c r="M343" s="258"/>
      <c r="N343" s="259"/>
    </row>
    <row r="344" spans="2:14" x14ac:dyDescent="0.15">
      <c r="B344" s="64"/>
      <c r="C344" s="15"/>
      <c r="D344" s="98"/>
      <c r="E344" s="260"/>
      <c r="F344" s="157"/>
      <c r="G344" s="98"/>
      <c r="H344" s="15"/>
      <c r="I344" s="98"/>
      <c r="J344" s="98"/>
      <c r="K344" s="157"/>
      <c r="L344" s="258"/>
      <c r="M344" s="258"/>
      <c r="N344" s="259"/>
    </row>
    <row r="345" spans="2:14" ht="16" x14ac:dyDescent="0.2">
      <c r="B345" s="64"/>
      <c r="C345" s="277" t="s">
        <v>231</v>
      </c>
      <c r="D345" s="98"/>
      <c r="E345" s="260"/>
      <c r="F345" s="157"/>
      <c r="G345" s="98"/>
      <c r="H345" s="15"/>
      <c r="I345" s="98"/>
      <c r="J345" s="98"/>
      <c r="K345" s="157"/>
      <c r="L345" s="258"/>
      <c r="M345" s="258"/>
      <c r="N345" s="259"/>
    </row>
    <row r="346" spans="2:14" x14ac:dyDescent="0.15">
      <c r="B346" s="64"/>
      <c r="C346" s="15"/>
      <c r="D346" s="98"/>
      <c r="E346" s="260"/>
      <c r="F346" s="157"/>
      <c r="G346" s="98"/>
      <c r="H346" s="15"/>
      <c r="I346" s="98"/>
      <c r="J346" s="98"/>
      <c r="K346" s="157"/>
      <c r="L346" s="258"/>
      <c r="M346" s="258"/>
      <c r="N346" s="259"/>
    </row>
    <row r="347" spans="2:14" x14ac:dyDescent="0.15">
      <c r="B347" s="64"/>
      <c r="C347" s="189" t="s">
        <v>232</v>
      </c>
      <c r="D347" s="192" t="s">
        <v>190</v>
      </c>
      <c r="E347" s="260"/>
      <c r="F347" s="157"/>
      <c r="G347" s="98"/>
      <c r="H347" s="15"/>
      <c r="I347" s="98"/>
      <c r="J347" s="98"/>
      <c r="K347" s="157"/>
      <c r="L347" s="258"/>
      <c r="M347" s="258"/>
      <c r="N347" s="259"/>
    </row>
    <row r="348" spans="2:14" x14ac:dyDescent="0.15">
      <c r="B348" s="64"/>
      <c r="C348" s="243" t="str">
        <f>Y6</f>
        <v xml:space="preserve">inferieur à 20 ans </v>
      </c>
      <c r="D348" s="95">
        <f>COUNTIF($U$70:$U$85,Tableau13[[#This Row],[Tranche d''age ]])</f>
        <v>0</v>
      </c>
      <c r="E348" s="260"/>
      <c r="F348" s="157"/>
      <c r="G348" s="98"/>
      <c r="H348" s="15"/>
      <c r="I348" s="98"/>
      <c r="J348" s="98"/>
      <c r="K348" s="157"/>
      <c r="L348" s="258"/>
      <c r="M348" s="258"/>
      <c r="N348" s="259"/>
    </row>
    <row r="349" spans="2:14" x14ac:dyDescent="0.15">
      <c r="B349" s="64"/>
      <c r="C349" s="243" t="str">
        <f>Y7</f>
        <v>de 20 ans à 30ans</v>
      </c>
      <c r="D349" s="95">
        <f>COUNTIF($U$70:$U$85,Tableau13[[#This Row],[Tranche d''age ]])</f>
        <v>2</v>
      </c>
      <c r="E349" s="260"/>
      <c r="F349" s="157"/>
      <c r="G349" s="98"/>
      <c r="H349" s="15"/>
      <c r="I349" s="98"/>
      <c r="J349" s="98"/>
      <c r="K349" s="157"/>
      <c r="L349" s="258"/>
      <c r="M349" s="258"/>
      <c r="N349" s="259"/>
    </row>
    <row r="350" spans="2:14" x14ac:dyDescent="0.15">
      <c r="B350" s="64"/>
      <c r="C350" s="243" t="str">
        <f>Y8</f>
        <v>de 30 ans à 45ans</v>
      </c>
      <c r="D350" s="95">
        <f>COUNTIF($U$70:$U$85,Tableau13[[#This Row],[Tranche d''age ]])</f>
        <v>8</v>
      </c>
      <c r="E350" s="260"/>
      <c r="F350" s="157"/>
      <c r="G350" s="98"/>
      <c r="H350" s="15"/>
      <c r="I350" s="98"/>
      <c r="J350" s="98"/>
      <c r="K350" s="157"/>
      <c r="L350" s="258"/>
      <c r="M350" s="258"/>
      <c r="N350" s="259"/>
    </row>
    <row r="351" spans="2:14" x14ac:dyDescent="0.15">
      <c r="B351" s="64"/>
      <c r="C351" s="243" t="str">
        <f>Y9</f>
        <v>de 45 ans à 50ans</v>
      </c>
      <c r="D351" s="95">
        <f>COUNTIF($U$70:$U$85,Tableau13[[#This Row],[Tranche d''age ]])</f>
        <v>0</v>
      </c>
      <c r="E351" s="260"/>
      <c r="F351" s="157"/>
      <c r="G351" s="98"/>
      <c r="H351" s="15"/>
      <c r="I351" s="98"/>
      <c r="J351" s="98"/>
      <c r="K351" s="157"/>
      <c r="L351" s="258"/>
      <c r="M351" s="258"/>
      <c r="N351" s="259"/>
    </row>
    <row r="352" spans="2:14" x14ac:dyDescent="0.15">
      <c r="B352" s="64"/>
      <c r="C352" s="244" t="str">
        <f>Y10</f>
        <v xml:space="preserve">superieur à 50 ans </v>
      </c>
      <c r="D352" s="96">
        <f>COUNTIF($U$70:$U$85,Tableau13[[#This Row],[Tranche d''age ]])</f>
        <v>6</v>
      </c>
      <c r="E352" s="260"/>
      <c r="F352" s="157"/>
      <c r="G352" s="98"/>
      <c r="H352" s="15"/>
      <c r="I352" s="98"/>
      <c r="J352" s="98"/>
      <c r="K352" s="157"/>
      <c r="L352" s="258"/>
      <c r="M352" s="258"/>
      <c r="N352" s="259"/>
    </row>
    <row r="353" spans="2:14" x14ac:dyDescent="0.15">
      <c r="B353" s="64"/>
      <c r="C353" s="187" t="s">
        <v>195</v>
      </c>
      <c r="D353" s="188">
        <f>SUM(D348:D352)</f>
        <v>16</v>
      </c>
      <c r="E353" s="260"/>
      <c r="F353" s="157"/>
      <c r="G353" s="98"/>
      <c r="H353" s="15"/>
      <c r="I353" s="98"/>
      <c r="J353" s="98"/>
      <c r="K353" s="157"/>
      <c r="L353" s="258"/>
      <c r="M353" s="258"/>
      <c r="N353" s="259"/>
    </row>
    <row r="354" spans="2:14" x14ac:dyDescent="0.15">
      <c r="B354" s="64"/>
      <c r="C354" s="15"/>
      <c r="D354" s="98"/>
      <c r="E354" s="260"/>
      <c r="F354" s="157"/>
      <c r="G354" s="98"/>
      <c r="H354" s="15"/>
      <c r="I354" s="98"/>
      <c r="J354" s="98"/>
      <c r="K354" s="157"/>
      <c r="L354" s="258"/>
      <c r="M354" s="258"/>
      <c r="N354" s="259"/>
    </row>
    <row r="355" spans="2:14" x14ac:dyDescent="0.15">
      <c r="B355" s="64"/>
      <c r="C355" s="15"/>
      <c r="D355" s="98"/>
      <c r="E355" s="260"/>
      <c r="F355" s="157"/>
      <c r="G355" s="98"/>
      <c r="H355" s="15"/>
      <c r="I355" s="98"/>
      <c r="J355" s="98"/>
      <c r="K355" s="157"/>
      <c r="L355" s="258"/>
      <c r="M355" s="258"/>
      <c r="N355" s="259"/>
    </row>
    <row r="356" spans="2:14" x14ac:dyDescent="0.15">
      <c r="B356" s="64"/>
      <c r="C356" s="15"/>
      <c r="D356" s="98"/>
      <c r="E356" s="260"/>
      <c r="F356" s="157"/>
      <c r="G356" s="98"/>
      <c r="H356" s="15"/>
      <c r="I356" s="98"/>
      <c r="J356" s="98"/>
      <c r="K356" s="157"/>
      <c r="L356" s="258"/>
      <c r="M356" s="258"/>
      <c r="N356" s="259"/>
    </row>
    <row r="357" spans="2:14" x14ac:dyDescent="0.15">
      <c r="B357" s="64"/>
      <c r="C357" s="15"/>
      <c r="D357" s="98"/>
      <c r="E357" s="260"/>
      <c r="F357" s="157"/>
      <c r="G357" s="98"/>
      <c r="H357" s="15"/>
      <c r="I357" s="98"/>
      <c r="J357" s="98"/>
      <c r="K357" s="157"/>
      <c r="L357" s="258"/>
      <c r="M357" s="258"/>
      <c r="N357" s="259"/>
    </row>
    <row r="358" spans="2:14" x14ac:dyDescent="0.15">
      <c r="B358" s="64"/>
      <c r="C358" s="15"/>
      <c r="D358" s="98"/>
      <c r="E358" s="260"/>
      <c r="F358" s="157"/>
      <c r="G358" s="98"/>
      <c r="H358" s="15"/>
      <c r="I358" s="98"/>
      <c r="J358" s="98"/>
      <c r="K358" s="157"/>
      <c r="L358" s="258"/>
      <c r="M358" s="258"/>
      <c r="N358" s="259"/>
    </row>
    <row r="359" spans="2:14" x14ac:dyDescent="0.15">
      <c r="B359" s="64"/>
      <c r="C359" s="15"/>
      <c r="D359" s="98"/>
      <c r="E359" s="260"/>
      <c r="F359" s="157"/>
      <c r="G359" s="98"/>
      <c r="H359" s="15"/>
      <c r="I359" s="98"/>
      <c r="J359" s="98"/>
      <c r="K359" s="157"/>
      <c r="L359" s="258"/>
      <c r="M359" s="258"/>
      <c r="N359" s="259"/>
    </row>
    <row r="360" spans="2:14" ht="23" x14ac:dyDescent="0.25">
      <c r="B360" s="64"/>
      <c r="C360" s="275" t="s">
        <v>233</v>
      </c>
      <c r="D360" s="98"/>
      <c r="E360" s="260"/>
      <c r="F360" s="157"/>
      <c r="G360" s="98"/>
      <c r="H360" s="15"/>
      <c r="I360" s="98"/>
      <c r="J360" s="98"/>
      <c r="K360" s="157"/>
      <c r="L360" s="258"/>
      <c r="M360" s="258"/>
      <c r="N360" s="259"/>
    </row>
    <row r="361" spans="2:14" x14ac:dyDescent="0.15">
      <c r="B361" s="64"/>
      <c r="C361" s="15"/>
      <c r="D361" s="98"/>
      <c r="E361" s="260"/>
      <c r="F361" s="157"/>
      <c r="G361" s="98"/>
      <c r="H361" s="15"/>
      <c r="I361" s="98"/>
      <c r="J361" s="98"/>
      <c r="K361" s="157"/>
      <c r="L361" s="258"/>
      <c r="M361" s="258"/>
      <c r="N361" s="259"/>
    </row>
    <row r="362" spans="2:14" ht="16" x14ac:dyDescent="0.2">
      <c r="B362" s="64"/>
      <c r="C362" s="277" t="s">
        <v>237</v>
      </c>
      <c r="D362" s="98"/>
      <c r="E362" s="260"/>
      <c r="F362" s="157"/>
      <c r="G362" s="98"/>
      <c r="H362" s="15"/>
      <c r="I362" s="98"/>
      <c r="J362" s="98"/>
      <c r="K362" s="157"/>
      <c r="L362" s="258"/>
      <c r="M362" s="258"/>
      <c r="N362" s="259"/>
    </row>
    <row r="363" spans="2:14" x14ac:dyDescent="0.15">
      <c r="B363" s="64"/>
      <c r="C363" s="15"/>
      <c r="D363" s="98"/>
      <c r="E363" s="260"/>
      <c r="F363" s="157"/>
      <c r="G363" s="98"/>
      <c r="H363" s="15"/>
      <c r="I363" s="98"/>
      <c r="J363" s="98"/>
      <c r="K363" s="157"/>
      <c r="L363" s="258"/>
      <c r="M363" s="258"/>
      <c r="N363" s="259"/>
    </row>
    <row r="364" spans="2:14" x14ac:dyDescent="0.15">
      <c r="B364" s="64"/>
      <c r="C364" s="189" t="s">
        <v>228</v>
      </c>
      <c r="D364" s="192" t="s">
        <v>234</v>
      </c>
      <c r="E364" s="245" t="s">
        <v>235</v>
      </c>
      <c r="F364" s="157"/>
      <c r="G364" s="98"/>
      <c r="H364" s="15"/>
      <c r="I364" s="98"/>
      <c r="J364" s="98"/>
      <c r="K364" s="157"/>
      <c r="L364" s="258"/>
      <c r="M364" s="258"/>
      <c r="N364" s="259"/>
    </row>
    <row r="365" spans="2:14" x14ac:dyDescent="0.15">
      <c r="B365" s="64"/>
      <c r="C365" s="190" t="s">
        <v>9</v>
      </c>
      <c r="D365" s="95">
        <f>COUNTIFS(TableauBS[Sexe],Tableau15[[#This Row],[Genre ]],TableauBS[Colonne2],1)</f>
        <v>18</v>
      </c>
      <c r="E365" s="246">
        <f>SUMIFS(TableauBS[Absenteisme],TableauBS[Sexe],Tableau15[[#This Row],[Genre ]])</f>
        <v>344</v>
      </c>
      <c r="F365" s="157"/>
      <c r="G365" s="98"/>
      <c r="H365" s="15"/>
      <c r="I365" s="98"/>
      <c r="J365" s="98"/>
      <c r="K365" s="157"/>
      <c r="L365" s="258"/>
      <c r="M365" s="258"/>
      <c r="N365" s="259"/>
    </row>
    <row r="366" spans="2:14" x14ac:dyDescent="0.15">
      <c r="B366" s="64"/>
      <c r="C366" s="193" t="s">
        <v>8</v>
      </c>
      <c r="D366" s="96">
        <f>COUNTIFS(TableauBS[Sexe],Tableau15[[#This Row],[Genre ]],TableauBS[Colonne2],1)</f>
        <v>22</v>
      </c>
      <c r="E366" s="195">
        <f>SUMIFS(TableauBS[Absenteisme],TableauBS[Sexe],Tableau15[[#This Row],[Genre ]])</f>
        <v>234</v>
      </c>
      <c r="F366" s="157"/>
      <c r="G366" s="98"/>
      <c r="H366" s="15"/>
      <c r="I366" s="98"/>
      <c r="J366" s="98"/>
      <c r="K366" s="157"/>
      <c r="L366" s="258"/>
      <c r="M366" s="258"/>
      <c r="N366" s="259"/>
    </row>
    <row r="367" spans="2:14" x14ac:dyDescent="0.15">
      <c r="B367" s="64"/>
      <c r="C367" s="187" t="s">
        <v>195</v>
      </c>
      <c r="D367" s="196">
        <f>SUM(D365:D366)</f>
        <v>40</v>
      </c>
      <c r="E367" s="197">
        <f>SUM(E365:E366)</f>
        <v>578</v>
      </c>
      <c r="F367" s="157"/>
      <c r="G367" s="98"/>
      <c r="H367" s="15"/>
      <c r="I367" s="98"/>
      <c r="J367" s="98"/>
      <c r="K367" s="157"/>
      <c r="L367" s="258"/>
      <c r="M367" s="258"/>
      <c r="N367" s="259"/>
    </row>
    <row r="368" spans="2:14" x14ac:dyDescent="0.15">
      <c r="B368" s="64"/>
      <c r="C368" s="15"/>
      <c r="D368" s="98"/>
      <c r="E368" s="260"/>
      <c r="F368" s="157"/>
      <c r="G368" s="98"/>
      <c r="H368" s="15"/>
      <c r="I368" s="98"/>
      <c r="J368" s="98"/>
      <c r="K368" s="157"/>
      <c r="L368" s="258"/>
      <c r="M368" s="258"/>
      <c r="N368" s="259"/>
    </row>
    <row r="369" spans="2:14" x14ac:dyDescent="0.15">
      <c r="B369" s="64"/>
      <c r="C369" s="15"/>
      <c r="D369" s="98"/>
      <c r="E369" s="260"/>
      <c r="F369" s="157"/>
      <c r="G369" s="98"/>
      <c r="H369" s="15"/>
      <c r="I369" s="98"/>
      <c r="J369" s="98"/>
      <c r="K369" s="157"/>
      <c r="L369" s="258"/>
      <c r="M369" s="258"/>
      <c r="N369" s="259"/>
    </row>
    <row r="370" spans="2:14" ht="16" x14ac:dyDescent="0.2">
      <c r="B370" s="64"/>
      <c r="C370" s="277" t="s">
        <v>238</v>
      </c>
      <c r="D370" s="98"/>
      <c r="E370" s="260"/>
      <c r="F370" s="157"/>
      <c r="G370" s="98"/>
      <c r="H370" s="15"/>
      <c r="I370" s="98"/>
      <c r="J370" s="98"/>
      <c r="K370" s="157"/>
      <c r="L370" s="258"/>
      <c r="M370" s="258"/>
      <c r="N370" s="259"/>
    </row>
    <row r="371" spans="2:14" x14ac:dyDescent="0.15">
      <c r="B371" s="64"/>
      <c r="C371" s="15"/>
      <c r="D371" s="98"/>
      <c r="E371" s="260"/>
      <c r="F371" s="157"/>
      <c r="G371" s="98"/>
      <c r="H371" s="15"/>
      <c r="I371" s="98"/>
      <c r="J371" s="98"/>
      <c r="K371" s="157"/>
      <c r="L371" s="258"/>
      <c r="M371" s="258"/>
      <c r="N371" s="259"/>
    </row>
    <row r="372" spans="2:14" x14ac:dyDescent="0.15">
      <c r="B372" s="64"/>
      <c r="C372" s="15"/>
      <c r="D372" s="98"/>
      <c r="E372" s="260"/>
      <c r="F372" s="157"/>
      <c r="G372" s="98"/>
      <c r="H372" s="15"/>
      <c r="I372" s="98"/>
      <c r="J372" s="98"/>
      <c r="K372" s="157"/>
      <c r="L372" s="258"/>
      <c r="M372" s="258"/>
      <c r="N372" s="259"/>
    </row>
    <row r="373" spans="2:14" x14ac:dyDescent="0.15">
      <c r="B373" s="64"/>
      <c r="C373" s="189" t="s">
        <v>189</v>
      </c>
      <c r="D373" s="192" t="s">
        <v>239</v>
      </c>
      <c r="E373" s="245" t="s">
        <v>240</v>
      </c>
      <c r="F373" s="194" t="s">
        <v>241</v>
      </c>
      <c r="G373" s="98"/>
      <c r="H373" s="15"/>
      <c r="I373" s="98"/>
      <c r="J373" s="98"/>
      <c r="K373" s="157"/>
      <c r="L373" s="258"/>
      <c r="M373" s="258"/>
      <c r="N373" s="259"/>
    </row>
    <row r="374" spans="2:14" x14ac:dyDescent="0.15">
      <c r="B374" s="64"/>
      <c r="C374" s="223" t="s">
        <v>101</v>
      </c>
      <c r="D374" s="95">
        <f>SUMIFS(TableauBS[Colonne2],TableauBS[[Statut ]],Tableau16[[#This Row],[Statut ]])</f>
        <v>21</v>
      </c>
      <c r="E374" s="221">
        <f>SUMIFS(TableauBS[Absenteisme],TableauBS[[Statut ]],Tableau16[[#This Row],[Statut ]])</f>
        <v>372</v>
      </c>
      <c r="F374" s="248">
        <f>Tableau16[[#This Row],[Nombre de jours ABS]]/(D123*360)</f>
        <v>3.6904761904761905E-2</v>
      </c>
      <c r="G374" s="98"/>
      <c r="H374" s="15"/>
      <c r="I374" s="98"/>
      <c r="J374" s="98"/>
      <c r="K374" s="157"/>
      <c r="L374" s="258"/>
      <c r="M374" s="258"/>
      <c r="N374" s="259"/>
    </row>
    <row r="375" spans="2:14" x14ac:dyDescent="0.15">
      <c r="B375" s="64"/>
      <c r="C375" s="223" t="s">
        <v>102</v>
      </c>
      <c r="D375" s="95">
        <f>SUMIFS(TableauBS[Colonne2],TableauBS[[Statut ]],Tableau16[[#This Row],[Statut ]])</f>
        <v>10</v>
      </c>
      <c r="E375" s="221">
        <f>SUMIFS(TableauBS[Absenteisme],TableauBS[[Statut ]],Tableau16[[#This Row],[Statut ]])</f>
        <v>171</v>
      </c>
      <c r="F375" s="248">
        <f>Tableau16[[#This Row],[Nombre de jours ABS]]/(D124*360)</f>
        <v>2.5000000000000001E-2</v>
      </c>
      <c r="G375" s="98"/>
      <c r="H375" s="15"/>
      <c r="I375" s="98"/>
      <c r="J375" s="98"/>
      <c r="K375" s="157"/>
      <c r="L375" s="258"/>
      <c r="M375" s="258"/>
      <c r="N375" s="259"/>
    </row>
    <row r="376" spans="2:14" x14ac:dyDescent="0.15">
      <c r="B376" s="64"/>
      <c r="C376" s="223" t="s">
        <v>103</v>
      </c>
      <c r="D376" s="95">
        <f>SUMIFS(TableauBS[Colonne2],TableauBS[[Statut ]],Tableau16[[#This Row],[Statut ]])</f>
        <v>8</v>
      </c>
      <c r="E376" s="221">
        <f>SUMIFS(TableauBS[Absenteisme],TableauBS[[Statut ]],Tableau16[[#This Row],[Statut ]])</f>
        <v>31</v>
      </c>
      <c r="F376" s="248">
        <f>Tableau16[[#This Row],[Nombre de jours ABS]]/(D125*360)</f>
        <v>6.1507936507936506E-3</v>
      </c>
      <c r="G376" s="98"/>
      <c r="H376" s="15"/>
      <c r="I376" s="98"/>
      <c r="J376" s="98"/>
      <c r="K376" s="157"/>
      <c r="L376" s="258"/>
      <c r="M376" s="258"/>
      <c r="N376" s="259"/>
    </row>
    <row r="377" spans="2:14" x14ac:dyDescent="0.15">
      <c r="B377" s="64"/>
      <c r="C377" s="193" t="s">
        <v>104</v>
      </c>
      <c r="D377" s="96">
        <f>SUMIFS(TableauBS[Colonne2],TableauBS[[Statut ]],Tableau16[[#This Row],[Statut ]])</f>
        <v>1</v>
      </c>
      <c r="E377" s="247">
        <f>SUMIFS(TableauBS[Absenteisme],TableauBS[[Statut ]],Tableau16[[#This Row],[Statut ]])</f>
        <v>4</v>
      </c>
      <c r="F377" s="249">
        <f>Tableau16[[#This Row],[Nombre de jours ABS]]/(D126*360)</f>
        <v>2.7777777777777779E-3</v>
      </c>
      <c r="G377" s="98"/>
      <c r="H377" s="15"/>
      <c r="I377" s="98"/>
      <c r="J377" s="98"/>
      <c r="K377" s="157"/>
      <c r="L377" s="258"/>
      <c r="M377" s="258"/>
      <c r="N377" s="259"/>
    </row>
    <row r="378" spans="2:14" x14ac:dyDescent="0.15">
      <c r="B378" s="64"/>
      <c r="C378" s="187" t="s">
        <v>195</v>
      </c>
      <c r="D378" s="196">
        <f>SUM(D374:D377)</f>
        <v>40</v>
      </c>
      <c r="E378" s="172">
        <f>SUM(E374:E377)</f>
        <v>578</v>
      </c>
      <c r="F378" s="228">
        <f>SUBTOTAL(109,Tableau16[en %])</f>
        <v>7.0833333333333345E-2</v>
      </c>
      <c r="G378" s="98"/>
      <c r="H378" s="15"/>
      <c r="I378" s="98"/>
      <c r="J378" s="98"/>
      <c r="K378" s="157"/>
      <c r="L378" s="258"/>
      <c r="M378" s="258"/>
      <c r="N378" s="259"/>
    </row>
    <row r="379" spans="2:14" x14ac:dyDescent="0.15">
      <c r="B379" s="64"/>
      <c r="C379" s="15"/>
      <c r="D379" s="98"/>
      <c r="E379" s="260"/>
      <c r="F379" s="157"/>
      <c r="G379" s="98"/>
      <c r="H379" s="15"/>
      <c r="I379" s="98"/>
      <c r="J379" s="98"/>
      <c r="K379" s="157"/>
      <c r="L379" s="258"/>
      <c r="M379" s="258"/>
      <c r="N379" s="259"/>
    </row>
    <row r="380" spans="2:14" x14ac:dyDescent="0.15">
      <c r="B380" s="64"/>
      <c r="C380" s="15"/>
      <c r="D380" s="98"/>
      <c r="E380" s="260"/>
      <c r="F380" s="157"/>
      <c r="G380" s="98"/>
      <c r="H380" s="15"/>
      <c r="I380" s="98"/>
      <c r="J380" s="98"/>
      <c r="K380" s="157"/>
      <c r="L380" s="258"/>
      <c r="M380" s="258"/>
      <c r="N380" s="259"/>
    </row>
    <row r="381" spans="2:14" x14ac:dyDescent="0.15">
      <c r="B381" s="64"/>
      <c r="C381" s="15"/>
      <c r="D381" s="98"/>
      <c r="E381" s="260"/>
      <c r="F381" s="157"/>
      <c r="G381" s="98"/>
      <c r="H381" s="15"/>
      <c r="I381" s="98"/>
      <c r="J381" s="98"/>
      <c r="K381" s="157"/>
      <c r="L381" s="258"/>
      <c r="M381" s="258"/>
      <c r="N381" s="259"/>
    </row>
    <row r="382" spans="2:14" x14ac:dyDescent="0.15">
      <c r="B382" s="64"/>
      <c r="C382" s="15"/>
      <c r="D382" s="98"/>
      <c r="E382" s="260"/>
      <c r="F382" s="157"/>
      <c r="G382" s="98"/>
      <c r="H382" s="15"/>
      <c r="I382" s="98"/>
      <c r="J382" s="98"/>
      <c r="K382" s="157"/>
      <c r="L382" s="258"/>
      <c r="M382" s="258"/>
      <c r="N382" s="259"/>
    </row>
    <row r="383" spans="2:14" x14ac:dyDescent="0.15">
      <c r="B383" s="64"/>
      <c r="C383" s="15"/>
      <c r="D383" s="98"/>
      <c r="E383" s="260"/>
      <c r="F383" s="157"/>
      <c r="G383" s="98"/>
      <c r="H383" s="15"/>
      <c r="I383" s="98"/>
      <c r="J383" s="98"/>
      <c r="K383" s="157"/>
      <c r="L383" s="258"/>
      <c r="M383" s="258"/>
      <c r="N383" s="259"/>
    </row>
    <row r="384" spans="2:14" ht="20" x14ac:dyDescent="0.2">
      <c r="B384" s="64"/>
      <c r="C384" s="274" t="s">
        <v>242</v>
      </c>
      <c r="D384" s="98"/>
      <c r="E384" s="260"/>
      <c r="F384" s="157"/>
      <c r="G384" s="98"/>
      <c r="H384" s="15"/>
      <c r="I384" s="98"/>
      <c r="J384" s="98"/>
      <c r="K384" s="157"/>
      <c r="L384" s="258"/>
      <c r="M384" s="258"/>
      <c r="N384" s="259"/>
    </row>
    <row r="385" spans="2:14" x14ac:dyDescent="0.15">
      <c r="B385" s="64"/>
      <c r="C385" s="15"/>
      <c r="D385" s="98"/>
      <c r="E385" s="260"/>
      <c r="F385" s="157"/>
      <c r="G385" s="98"/>
      <c r="H385" s="15"/>
      <c r="I385" s="98"/>
      <c r="J385" s="98"/>
      <c r="K385" s="157"/>
      <c r="L385" s="258"/>
      <c r="M385" s="258"/>
      <c r="N385" s="259"/>
    </row>
    <row r="386" spans="2:14" ht="16" x14ac:dyDescent="0.2">
      <c r="B386" s="64"/>
      <c r="C386" s="277" t="s">
        <v>243</v>
      </c>
      <c r="D386" s="98"/>
      <c r="E386" s="260"/>
      <c r="F386" s="157"/>
      <c r="G386" s="98"/>
      <c r="H386" s="15"/>
      <c r="I386" s="98"/>
      <c r="J386" s="98"/>
      <c r="K386" s="157"/>
      <c r="L386" s="258"/>
      <c r="M386" s="258"/>
      <c r="N386" s="259"/>
    </row>
    <row r="387" spans="2:14" x14ac:dyDescent="0.15">
      <c r="B387" s="64"/>
      <c r="C387" s="15"/>
      <c r="D387" s="98"/>
      <c r="E387" s="260"/>
      <c r="F387" s="157"/>
      <c r="G387" s="98"/>
      <c r="H387" s="15"/>
      <c r="I387" s="98"/>
      <c r="J387" s="98"/>
      <c r="K387" s="157"/>
      <c r="L387" s="258"/>
      <c r="M387" s="258"/>
      <c r="N387" s="259"/>
    </row>
    <row r="388" spans="2:14" x14ac:dyDescent="0.15">
      <c r="B388" s="64"/>
      <c r="C388" s="189" t="s">
        <v>222</v>
      </c>
      <c r="D388" s="192" t="s">
        <v>244</v>
      </c>
      <c r="E388" s="260"/>
      <c r="F388" s="157"/>
      <c r="G388" s="98"/>
      <c r="H388" s="15"/>
      <c r="I388" s="98"/>
      <c r="J388" s="98"/>
      <c r="K388" s="157"/>
      <c r="L388" s="258"/>
      <c r="M388" s="258"/>
      <c r="N388" s="259"/>
    </row>
    <row r="389" spans="2:14" x14ac:dyDescent="0.15">
      <c r="B389" s="64"/>
      <c r="C389" s="190" t="s">
        <v>9</v>
      </c>
      <c r="D389" s="250">
        <f>SUMIFS(TableauBS[Salaire/an],TableauBS[Sexe],Tableau17[[#This Row],[Genre]])</f>
        <v>1115514</v>
      </c>
      <c r="E389" s="260"/>
      <c r="F389" s="157"/>
      <c r="G389" s="98"/>
      <c r="H389" s="15"/>
      <c r="I389" s="98"/>
      <c r="J389" s="98"/>
      <c r="K389" s="157"/>
      <c r="L389" s="258"/>
      <c r="M389" s="258"/>
      <c r="N389" s="259"/>
    </row>
    <row r="390" spans="2:14" x14ac:dyDescent="0.15">
      <c r="B390" s="64"/>
      <c r="C390" s="193" t="s">
        <v>8</v>
      </c>
      <c r="D390" s="251">
        <f>SUMIFS(TableauBS[Salaire/an],TableauBS[Sexe],Tableau17[[#This Row],[Genre]])</f>
        <v>1589179</v>
      </c>
      <c r="E390" s="260"/>
      <c r="F390" s="157"/>
      <c r="G390" s="98"/>
      <c r="H390" s="15"/>
      <c r="I390" s="98"/>
      <c r="J390" s="98"/>
      <c r="K390" s="157"/>
      <c r="L390" s="258"/>
      <c r="M390" s="258"/>
      <c r="N390" s="259"/>
    </row>
    <row r="391" spans="2:14" x14ac:dyDescent="0.15">
      <c r="B391" s="64"/>
      <c r="C391" s="187" t="s">
        <v>195</v>
      </c>
      <c r="D391" s="229">
        <f>SUM(D389:D390)</f>
        <v>2704693</v>
      </c>
      <c r="E391" s="260"/>
      <c r="F391" s="157"/>
      <c r="G391" s="98"/>
      <c r="H391" s="15"/>
      <c r="I391" s="98"/>
      <c r="J391" s="98"/>
      <c r="K391" s="157"/>
      <c r="L391" s="258"/>
      <c r="M391" s="258"/>
      <c r="N391" s="259"/>
    </row>
    <row r="392" spans="2:14" x14ac:dyDescent="0.15">
      <c r="B392" s="64"/>
      <c r="C392" s="15"/>
      <c r="D392" s="98"/>
      <c r="E392" s="260"/>
      <c r="F392" s="157"/>
      <c r="G392" s="98"/>
      <c r="H392" s="15"/>
      <c r="I392" s="98"/>
      <c r="J392" s="98"/>
      <c r="K392" s="157"/>
      <c r="L392" s="258"/>
      <c r="M392" s="258"/>
      <c r="N392" s="259"/>
    </row>
    <row r="393" spans="2:14" ht="16" x14ac:dyDescent="0.2">
      <c r="B393" s="64"/>
      <c r="C393" s="277" t="s">
        <v>245</v>
      </c>
      <c r="D393" s="98"/>
      <c r="E393" s="260"/>
      <c r="F393" s="157"/>
      <c r="G393" s="98"/>
      <c r="H393" s="15"/>
      <c r="I393" s="98"/>
      <c r="J393" s="98"/>
      <c r="K393" s="157"/>
      <c r="L393" s="258"/>
      <c r="M393" s="258"/>
      <c r="N393" s="259"/>
    </row>
    <row r="394" spans="2:14" x14ac:dyDescent="0.15">
      <c r="B394" s="64"/>
      <c r="C394" s="15"/>
      <c r="D394" s="98"/>
      <c r="E394" s="260"/>
      <c r="F394" s="157"/>
      <c r="G394" s="98"/>
      <c r="H394" s="15"/>
      <c r="I394" s="98"/>
      <c r="J394" s="98"/>
      <c r="K394" s="157"/>
      <c r="L394" s="258"/>
      <c r="M394" s="258"/>
      <c r="N394" s="259"/>
    </row>
    <row r="395" spans="2:14" x14ac:dyDescent="0.15">
      <c r="B395" s="64"/>
      <c r="C395" s="189" t="s">
        <v>189</v>
      </c>
      <c r="D395" s="192" t="s">
        <v>244</v>
      </c>
      <c r="E395" s="260"/>
      <c r="F395" s="157"/>
      <c r="G395" s="98"/>
      <c r="H395" s="15"/>
      <c r="I395" s="98"/>
      <c r="J395" s="98"/>
      <c r="K395" s="157"/>
      <c r="L395" s="258"/>
      <c r="M395" s="258"/>
      <c r="N395" s="259"/>
    </row>
    <row r="396" spans="2:14" x14ac:dyDescent="0.15">
      <c r="B396" s="64"/>
      <c r="C396" s="223" t="s">
        <v>101</v>
      </c>
      <c r="D396" s="250">
        <f>SUMIFS(TableauBS[Salaire/an],TableauBS[[Statut ]],C396)</f>
        <v>895423</v>
      </c>
      <c r="E396" s="260"/>
      <c r="F396" s="157"/>
      <c r="G396" s="98"/>
      <c r="H396" s="15"/>
      <c r="I396" s="98"/>
      <c r="J396" s="98"/>
      <c r="K396" s="157"/>
      <c r="L396" s="258"/>
      <c r="M396" s="258"/>
      <c r="N396" s="259"/>
    </row>
    <row r="397" spans="2:14" x14ac:dyDescent="0.15">
      <c r="B397" s="64"/>
      <c r="C397" s="223" t="s">
        <v>102</v>
      </c>
      <c r="D397" s="250">
        <f>SUMIFS(TableauBS[Salaire/an],TableauBS[[Statut ]],C397)</f>
        <v>614380</v>
      </c>
      <c r="E397" s="260"/>
      <c r="F397" s="157"/>
      <c r="G397" s="98"/>
      <c r="H397" s="15"/>
      <c r="I397" s="98"/>
      <c r="J397" s="98"/>
      <c r="K397" s="157"/>
      <c r="L397" s="258"/>
      <c r="M397" s="258"/>
      <c r="N397" s="259"/>
    </row>
    <row r="398" spans="2:14" x14ac:dyDescent="0.15">
      <c r="B398" s="64"/>
      <c r="C398" s="223" t="s">
        <v>103</v>
      </c>
      <c r="D398" s="250">
        <f>SUMIFS(TableauBS[Salaire/an],TableauBS[[Statut ]],C398)</f>
        <v>711056</v>
      </c>
      <c r="E398" s="260"/>
      <c r="F398" s="157"/>
      <c r="G398" s="98"/>
      <c r="H398" s="15"/>
      <c r="I398" s="98"/>
      <c r="J398" s="98"/>
      <c r="K398" s="157"/>
      <c r="L398" s="258"/>
      <c r="M398" s="258"/>
      <c r="N398" s="259"/>
    </row>
    <row r="399" spans="2:14" x14ac:dyDescent="0.15">
      <c r="B399" s="64"/>
      <c r="C399" s="252" t="s">
        <v>104</v>
      </c>
      <c r="D399" s="251">
        <f>SUMIFS(TableauBS[Salaire/an],TableauBS[[Statut ]],C399)</f>
        <v>483834</v>
      </c>
      <c r="E399" s="260"/>
      <c r="F399" s="157"/>
      <c r="G399" s="98"/>
      <c r="H399" s="15"/>
      <c r="I399" s="98"/>
      <c r="J399" s="98"/>
      <c r="K399" s="157"/>
      <c r="L399" s="258"/>
      <c r="M399" s="258"/>
      <c r="N399" s="259"/>
    </row>
    <row r="400" spans="2:14" x14ac:dyDescent="0.15">
      <c r="B400" s="64"/>
      <c r="C400" s="187" t="s">
        <v>246</v>
      </c>
      <c r="D400" s="229">
        <f>SUM(D396:D399)</f>
        <v>2704693</v>
      </c>
      <c r="E400" s="260"/>
      <c r="F400" s="157"/>
      <c r="G400" s="98"/>
      <c r="H400" s="15"/>
      <c r="I400" s="98"/>
      <c r="J400" s="98"/>
      <c r="K400" s="157"/>
      <c r="L400" s="258"/>
      <c r="M400" s="258"/>
      <c r="N400" s="259"/>
    </row>
    <row r="401" spans="2:14" x14ac:dyDescent="0.15">
      <c r="B401" s="64"/>
      <c r="C401" s="15"/>
      <c r="D401" s="98"/>
      <c r="E401" s="260"/>
      <c r="F401" s="157"/>
      <c r="G401" s="98"/>
      <c r="H401" s="15"/>
      <c r="I401" s="98"/>
      <c r="J401" s="98"/>
      <c r="K401" s="157"/>
      <c r="L401" s="258"/>
      <c r="M401" s="258"/>
      <c r="N401" s="259"/>
    </row>
    <row r="402" spans="2:14" x14ac:dyDescent="0.15">
      <c r="B402" s="64"/>
      <c r="C402" s="15"/>
      <c r="D402" s="98"/>
      <c r="E402" s="260"/>
      <c r="F402" s="157"/>
      <c r="G402" s="98"/>
      <c r="H402" s="15"/>
      <c r="I402" s="98"/>
      <c r="J402" s="98"/>
      <c r="K402" s="157"/>
      <c r="L402" s="258"/>
      <c r="M402" s="258"/>
      <c r="N402" s="259"/>
    </row>
    <row r="403" spans="2:14" x14ac:dyDescent="0.15">
      <c r="B403" s="64"/>
      <c r="C403" s="15"/>
      <c r="D403" s="98"/>
      <c r="E403" s="260"/>
      <c r="F403" s="157"/>
      <c r="G403" s="98"/>
      <c r="H403" s="15"/>
      <c r="I403" s="98"/>
      <c r="J403" s="98"/>
      <c r="K403" s="157"/>
      <c r="L403" s="258"/>
      <c r="M403" s="258"/>
      <c r="N403" s="259"/>
    </row>
    <row r="404" spans="2:14" x14ac:dyDescent="0.15">
      <c r="B404" s="64"/>
      <c r="C404" s="15"/>
      <c r="D404" s="98"/>
      <c r="E404" s="260"/>
      <c r="F404" s="157"/>
      <c r="G404" s="98"/>
      <c r="H404" s="15"/>
      <c r="I404" s="98"/>
      <c r="J404" s="98"/>
      <c r="K404" s="157"/>
      <c r="L404" s="258"/>
      <c r="M404" s="258"/>
      <c r="N404" s="259"/>
    </row>
    <row r="405" spans="2:14" x14ac:dyDescent="0.15">
      <c r="B405" s="64"/>
      <c r="C405" s="15"/>
      <c r="D405" s="98"/>
      <c r="E405" s="260"/>
      <c r="F405" s="157"/>
      <c r="G405" s="98"/>
      <c r="H405" s="15"/>
      <c r="I405" s="98"/>
      <c r="J405" s="98"/>
      <c r="K405" s="157"/>
      <c r="L405" s="258"/>
      <c r="M405" s="258"/>
      <c r="N405" s="259"/>
    </row>
    <row r="406" spans="2:14" x14ac:dyDescent="0.15">
      <c r="B406" s="64"/>
      <c r="C406" s="15"/>
      <c r="D406" s="98"/>
      <c r="E406" s="260"/>
      <c r="F406" s="157"/>
      <c r="G406" s="98"/>
      <c r="H406" s="15"/>
      <c r="I406" s="98"/>
      <c r="J406" s="98"/>
      <c r="K406" s="157"/>
      <c r="L406" s="258"/>
      <c r="M406" s="258"/>
      <c r="N406" s="259"/>
    </row>
    <row r="407" spans="2:14" x14ac:dyDescent="0.15">
      <c r="B407" s="64"/>
      <c r="C407" s="15"/>
      <c r="D407" s="98"/>
      <c r="E407" s="260"/>
      <c r="F407" s="157"/>
      <c r="G407" s="98"/>
      <c r="H407" s="15"/>
      <c r="I407" s="98"/>
      <c r="J407" s="98"/>
      <c r="K407" s="157"/>
      <c r="L407" s="258"/>
      <c r="M407" s="258"/>
      <c r="N407" s="259"/>
    </row>
    <row r="408" spans="2:14" x14ac:dyDescent="0.15">
      <c r="B408" s="64"/>
      <c r="C408" s="15"/>
      <c r="D408" s="98"/>
      <c r="E408" s="260"/>
      <c r="F408" s="157"/>
      <c r="G408" s="98"/>
      <c r="H408" s="15"/>
      <c r="I408" s="98"/>
      <c r="J408" s="98"/>
      <c r="K408" s="157"/>
      <c r="L408" s="258"/>
      <c r="M408" s="258"/>
      <c r="N408" s="259"/>
    </row>
    <row r="409" spans="2:14" x14ac:dyDescent="0.15">
      <c r="B409" s="64"/>
      <c r="C409" s="15"/>
      <c r="D409" s="98"/>
      <c r="E409" s="260"/>
      <c r="F409" s="157"/>
      <c r="G409" s="98"/>
      <c r="H409" s="15"/>
      <c r="I409" s="98"/>
      <c r="J409" s="98"/>
      <c r="K409" s="157"/>
      <c r="L409" s="258"/>
      <c r="M409" s="258"/>
      <c r="N409" s="259"/>
    </row>
    <row r="410" spans="2:14" x14ac:dyDescent="0.15">
      <c r="B410" s="64"/>
      <c r="C410" s="15"/>
      <c r="D410" s="98"/>
      <c r="E410" s="260"/>
      <c r="F410" s="157"/>
      <c r="G410" s="98"/>
      <c r="H410" s="15"/>
      <c r="I410" s="98"/>
      <c r="J410" s="98"/>
      <c r="K410" s="157"/>
      <c r="L410" s="258"/>
      <c r="M410" s="258"/>
      <c r="N410" s="259"/>
    </row>
    <row r="411" spans="2:14" x14ac:dyDescent="0.15">
      <c r="B411" s="64"/>
      <c r="C411" s="15"/>
      <c r="D411" s="98"/>
      <c r="E411" s="260"/>
      <c r="F411" s="157"/>
      <c r="G411" s="98"/>
      <c r="H411" s="15"/>
      <c r="I411" s="98"/>
      <c r="J411" s="98"/>
      <c r="K411" s="157"/>
      <c r="L411" s="258"/>
      <c r="M411" s="258"/>
      <c r="N411" s="259"/>
    </row>
    <row r="412" spans="2:14" x14ac:dyDescent="0.15">
      <c r="B412" s="64"/>
      <c r="C412" s="15"/>
      <c r="D412" s="98"/>
      <c r="E412" s="260"/>
      <c r="F412" s="157"/>
      <c r="G412" s="98"/>
      <c r="H412" s="15"/>
      <c r="I412" s="98"/>
      <c r="J412" s="98"/>
      <c r="K412" s="157"/>
      <c r="L412" s="258"/>
      <c r="M412" s="258"/>
      <c r="N412" s="259"/>
    </row>
    <row r="413" spans="2:14" x14ac:dyDescent="0.15">
      <c r="B413" s="64"/>
      <c r="C413" s="15"/>
      <c r="D413" s="98"/>
      <c r="E413" s="260"/>
      <c r="F413" s="157"/>
      <c r="G413" s="98"/>
      <c r="H413" s="15"/>
      <c r="I413" s="98"/>
      <c r="J413" s="98"/>
      <c r="K413" s="157"/>
      <c r="L413" s="258"/>
      <c r="M413" s="258"/>
      <c r="N413" s="259"/>
    </row>
    <row r="414" spans="2:14" x14ac:dyDescent="0.15">
      <c r="B414" s="64"/>
      <c r="C414" s="15"/>
      <c r="D414" s="98"/>
      <c r="E414" s="260"/>
      <c r="F414" s="157"/>
      <c r="G414" s="98"/>
      <c r="H414" s="15"/>
      <c r="I414" s="98"/>
      <c r="J414" s="98"/>
      <c r="K414" s="157"/>
      <c r="L414" s="258"/>
      <c r="M414" s="258"/>
      <c r="N414" s="259"/>
    </row>
    <row r="415" spans="2:14" x14ac:dyDescent="0.15">
      <c r="B415" s="64"/>
      <c r="C415" s="15"/>
      <c r="D415" s="98"/>
      <c r="E415" s="260"/>
      <c r="F415" s="157"/>
      <c r="G415" s="98"/>
      <c r="H415" s="15"/>
      <c r="I415" s="98"/>
      <c r="J415" s="98"/>
      <c r="K415" s="157"/>
      <c r="L415" s="258"/>
      <c r="M415" s="258"/>
      <c r="N415" s="259"/>
    </row>
    <row r="416" spans="2:14" x14ac:dyDescent="0.15">
      <c r="B416" s="64"/>
      <c r="C416" s="15"/>
      <c r="D416" s="98"/>
      <c r="E416" s="260"/>
      <c r="F416" s="157"/>
      <c r="G416" s="98"/>
      <c r="H416" s="15"/>
      <c r="I416" s="98"/>
      <c r="J416" s="98"/>
      <c r="K416" s="157"/>
      <c r="L416" s="258"/>
      <c r="M416" s="258"/>
      <c r="N416" s="259"/>
    </row>
    <row r="417" spans="2:14" x14ac:dyDescent="0.15">
      <c r="B417" s="64"/>
      <c r="C417" s="15"/>
      <c r="D417" s="98"/>
      <c r="E417" s="260"/>
      <c r="F417" s="157"/>
      <c r="G417" s="98"/>
      <c r="H417" s="15"/>
      <c r="I417" s="98"/>
      <c r="J417" s="98"/>
      <c r="K417" s="157"/>
      <c r="L417" s="258"/>
      <c r="M417" s="258"/>
      <c r="N417" s="259"/>
    </row>
    <row r="418" spans="2:14" x14ac:dyDescent="0.15">
      <c r="B418" s="64"/>
      <c r="C418" s="15"/>
      <c r="D418" s="98"/>
      <c r="E418" s="260"/>
      <c r="F418" s="157"/>
      <c r="G418" s="98"/>
      <c r="H418" s="15"/>
      <c r="I418" s="98"/>
      <c r="J418" s="98"/>
      <c r="K418" s="157"/>
      <c r="L418" s="258"/>
      <c r="M418" s="258"/>
      <c r="N418" s="259"/>
    </row>
    <row r="419" spans="2:14" x14ac:dyDescent="0.15">
      <c r="B419" s="64"/>
      <c r="C419" s="15"/>
      <c r="D419" s="98"/>
      <c r="E419" s="260"/>
      <c r="F419" s="157"/>
      <c r="G419" s="98"/>
      <c r="H419" s="15"/>
      <c r="I419" s="98"/>
      <c r="J419" s="98"/>
      <c r="K419" s="157"/>
      <c r="L419" s="258"/>
      <c r="M419" s="258"/>
      <c r="N419" s="259"/>
    </row>
    <row r="420" spans="2:14" x14ac:dyDescent="0.15">
      <c r="B420" s="64"/>
      <c r="C420" s="15"/>
      <c r="D420" s="98"/>
      <c r="E420" s="260"/>
      <c r="F420" s="157"/>
      <c r="G420" s="98"/>
      <c r="H420" s="15"/>
      <c r="I420" s="98"/>
      <c r="J420" s="98"/>
      <c r="K420" s="157"/>
      <c r="L420" s="258"/>
      <c r="M420" s="258"/>
      <c r="N420" s="259"/>
    </row>
    <row r="421" spans="2:14" x14ac:dyDescent="0.15">
      <c r="B421" s="64"/>
      <c r="C421" s="15"/>
      <c r="D421" s="98"/>
      <c r="E421" s="260"/>
      <c r="F421" s="157"/>
      <c r="G421" s="98"/>
      <c r="H421" s="15"/>
      <c r="I421" s="98"/>
      <c r="J421" s="98"/>
      <c r="K421" s="157"/>
      <c r="L421" s="258"/>
      <c r="M421" s="258"/>
      <c r="N421" s="259"/>
    </row>
    <row r="422" spans="2:14" x14ac:dyDescent="0.15">
      <c r="B422" s="64"/>
      <c r="C422" s="15"/>
      <c r="D422" s="98"/>
      <c r="E422" s="260"/>
      <c r="F422" s="157"/>
      <c r="G422" s="98"/>
      <c r="H422" s="15"/>
      <c r="I422" s="98"/>
      <c r="J422" s="98"/>
      <c r="K422" s="157"/>
      <c r="L422" s="258"/>
      <c r="M422" s="258"/>
      <c r="N422" s="259"/>
    </row>
    <row r="423" spans="2:14" ht="14" thickBot="1" x14ac:dyDescent="0.2">
      <c r="B423" s="66"/>
      <c r="C423" s="67"/>
      <c r="D423" s="268"/>
      <c r="E423" s="269"/>
      <c r="F423" s="270"/>
      <c r="G423" s="268"/>
      <c r="H423" s="67"/>
      <c r="I423" s="268"/>
      <c r="J423" s="268"/>
      <c r="K423" s="270"/>
      <c r="L423" s="271"/>
      <c r="M423" s="271"/>
      <c r="N423" s="272"/>
    </row>
  </sheetData>
  <sortState xmlns:xlrd2="http://schemas.microsoft.com/office/spreadsheetml/2017/richdata2" ref="C6:P85">
    <sortCondition descending="1" ref="N6:N85"/>
  </sortState>
  <mergeCells count="10">
    <mergeCell ref="H3:I3"/>
    <mergeCell ref="Z3:AC3"/>
    <mergeCell ref="E149:F149"/>
    <mergeCell ref="G158:H158"/>
    <mergeCell ref="I158:J158"/>
    <mergeCell ref="K158:L158"/>
    <mergeCell ref="G149:H149"/>
    <mergeCell ref="I149:J149"/>
    <mergeCell ref="K149:L149"/>
    <mergeCell ref="E158:F158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5"/>
  <headerFooter alignWithMargins="0"/>
  <ignoredErrors>
    <ignoredError sqref="D152:D156" calculatedColumn="1"/>
  </ignoredErrors>
  <drawing r:id="rId6"/>
  <tableParts count="18"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H27" sqref="H27"/>
    </sheetView>
  </sheetViews>
  <sheetFormatPr baseColWidth="10" defaultRowHeight="13" x14ac:dyDescent="0.15"/>
  <cols>
    <col min="2" max="2" width="6.5" customWidth="1"/>
    <col min="3" max="3" width="18.83203125" customWidth="1"/>
    <col min="5" max="5" width="2" customWidth="1"/>
    <col min="6" max="6" width="2.5" customWidth="1"/>
    <col min="9" max="9" width="27.5" customWidth="1"/>
  </cols>
  <sheetData>
    <row r="1" spans="1:9" x14ac:dyDescent="0.15">
      <c r="A1" s="2" t="s">
        <v>160</v>
      </c>
      <c r="B1" s="2"/>
      <c r="C1" s="2"/>
      <c r="D1" s="2" t="s">
        <v>161</v>
      </c>
    </row>
    <row r="3" spans="1:9" ht="15" thickBot="1" x14ac:dyDescent="0.2">
      <c r="C3" s="58" t="s">
        <v>135</v>
      </c>
      <c r="D3" s="58"/>
      <c r="E3" s="58" t="s">
        <v>136</v>
      </c>
      <c r="F3" s="58" t="s">
        <v>141</v>
      </c>
      <c r="G3" s="58" t="s">
        <v>130</v>
      </c>
      <c r="H3" s="88" t="s">
        <v>136</v>
      </c>
      <c r="I3" s="88" t="s">
        <v>141</v>
      </c>
    </row>
    <row r="4" spans="1:9" ht="15" x14ac:dyDescent="0.2">
      <c r="A4" s="57">
        <f ca="1">RAND()</f>
        <v>0.89192715249147492</v>
      </c>
      <c r="B4" s="3">
        <f t="shared" ref="B4:B19" ca="1" si="0">RANK(A4,$A$4:$A$21,1)</f>
        <v>14</v>
      </c>
      <c r="C4" s="59" t="s">
        <v>144</v>
      </c>
      <c r="D4" s="3">
        <v>1</v>
      </c>
      <c r="E4" s="293" t="s">
        <v>138</v>
      </c>
      <c r="F4" s="58" t="s">
        <v>141</v>
      </c>
      <c r="G4" s="58" t="s">
        <v>130</v>
      </c>
      <c r="H4" s="293" t="s">
        <v>138</v>
      </c>
      <c r="I4" s="70" t="s">
        <v>145</v>
      </c>
    </row>
    <row r="5" spans="1:9" ht="15" x14ac:dyDescent="0.2">
      <c r="A5" s="57">
        <f t="shared" ref="A5:A21" ca="1" si="1">RAND()</f>
        <v>0.93841312986837899</v>
      </c>
      <c r="B5" s="3">
        <f t="shared" ca="1" si="0"/>
        <v>15</v>
      </c>
      <c r="C5" s="59" t="s">
        <v>145</v>
      </c>
      <c r="D5" s="3">
        <v>2</v>
      </c>
      <c r="E5" s="294"/>
      <c r="F5" s="58" t="s">
        <v>141</v>
      </c>
      <c r="G5" s="58" t="s">
        <v>130</v>
      </c>
      <c r="H5" s="294"/>
      <c r="I5" s="71" t="s">
        <v>152</v>
      </c>
    </row>
    <row r="6" spans="1:9" ht="16" thickBot="1" x14ac:dyDescent="0.25">
      <c r="A6" s="57">
        <f ca="1">RAND()</f>
        <v>0.94289778788404466</v>
      </c>
      <c r="B6" s="3">
        <f t="shared" ca="1" si="0"/>
        <v>16</v>
      </c>
      <c r="C6" s="59" t="s">
        <v>146</v>
      </c>
      <c r="D6" s="3">
        <v>3</v>
      </c>
      <c r="E6" s="295"/>
      <c r="F6" s="58" t="s">
        <v>141</v>
      </c>
      <c r="G6" s="58" t="s">
        <v>130</v>
      </c>
      <c r="H6" s="295"/>
      <c r="I6" s="72" t="s">
        <v>153</v>
      </c>
    </row>
    <row r="7" spans="1:9" ht="15" x14ac:dyDescent="0.2">
      <c r="A7" s="57">
        <f t="shared" ca="1" si="1"/>
        <v>0.57340515301576123</v>
      </c>
      <c r="B7" s="3">
        <f t="shared" ca="1" si="0"/>
        <v>9</v>
      </c>
      <c r="C7" s="59" t="s">
        <v>147</v>
      </c>
      <c r="D7" s="3">
        <v>4</v>
      </c>
      <c r="E7" s="296" t="s">
        <v>142</v>
      </c>
      <c r="F7" s="58" t="s">
        <v>141</v>
      </c>
      <c r="G7" s="58" t="s">
        <v>130</v>
      </c>
      <c r="H7" s="296" t="s">
        <v>142</v>
      </c>
      <c r="I7" s="73" t="s">
        <v>162</v>
      </c>
    </row>
    <row r="8" spans="1:9" ht="15" x14ac:dyDescent="0.2">
      <c r="A8" s="57">
        <f t="shared" ca="1" si="1"/>
        <v>0.55721058750661967</v>
      </c>
      <c r="B8" s="3">
        <f t="shared" ca="1" si="0"/>
        <v>7</v>
      </c>
      <c r="C8" s="59" t="s">
        <v>148</v>
      </c>
      <c r="D8" s="3">
        <v>5</v>
      </c>
      <c r="E8" s="297"/>
      <c r="F8" s="58" t="s">
        <v>141</v>
      </c>
      <c r="G8" s="58" t="s">
        <v>130</v>
      </c>
      <c r="H8" s="297"/>
      <c r="I8" s="74" t="s">
        <v>151</v>
      </c>
    </row>
    <row r="9" spans="1:9" ht="16" thickBot="1" x14ac:dyDescent="0.25">
      <c r="A9" s="57">
        <f t="shared" ca="1" si="1"/>
        <v>0.57064946948034112</v>
      </c>
      <c r="B9" s="3">
        <f t="shared" ca="1" si="0"/>
        <v>8</v>
      </c>
      <c r="C9" s="59" t="s">
        <v>149</v>
      </c>
      <c r="D9" s="3">
        <v>6</v>
      </c>
      <c r="E9" s="298"/>
      <c r="F9" s="58" t="s">
        <v>141</v>
      </c>
      <c r="G9" s="58" t="s">
        <v>130</v>
      </c>
      <c r="H9" s="298"/>
      <c r="I9" s="75" t="s">
        <v>147</v>
      </c>
    </row>
    <row r="10" spans="1:9" ht="15" x14ac:dyDescent="0.2">
      <c r="A10" s="57">
        <f t="shared" ca="1" si="1"/>
        <v>0.31662013930648158</v>
      </c>
      <c r="B10" s="3">
        <f t="shared" ca="1" si="0"/>
        <v>3</v>
      </c>
      <c r="C10" s="59" t="s">
        <v>150</v>
      </c>
      <c r="D10" s="3">
        <v>7</v>
      </c>
      <c r="E10" s="299" t="s">
        <v>139</v>
      </c>
      <c r="F10" s="58" t="s">
        <v>141</v>
      </c>
      <c r="G10" s="58" t="s">
        <v>130</v>
      </c>
      <c r="H10" s="299" t="s">
        <v>139</v>
      </c>
      <c r="I10" s="76" t="s">
        <v>144</v>
      </c>
    </row>
    <row r="11" spans="1:9" ht="15" x14ac:dyDescent="0.2">
      <c r="A11" s="57">
        <f ca="1">RAND()</f>
        <v>0.42399925852899556</v>
      </c>
      <c r="B11" s="3">
        <f t="shared" ca="1" si="0"/>
        <v>5</v>
      </c>
      <c r="C11" s="59" t="s">
        <v>151</v>
      </c>
      <c r="D11" s="3">
        <v>8</v>
      </c>
      <c r="E11" s="300"/>
      <c r="F11" s="58" t="s">
        <v>141</v>
      </c>
      <c r="G11" s="58" t="s">
        <v>130</v>
      </c>
      <c r="H11" s="300"/>
      <c r="I11" s="77" t="s">
        <v>155</v>
      </c>
    </row>
    <row r="12" spans="1:9" ht="16" thickBot="1" x14ac:dyDescent="0.25">
      <c r="A12" s="57">
        <f ca="1">RAND()</f>
        <v>0.60007152809728248</v>
      </c>
      <c r="B12" s="3">
        <f t="shared" ca="1" si="0"/>
        <v>11</v>
      </c>
      <c r="C12" s="59" t="s">
        <v>152</v>
      </c>
      <c r="D12" s="3">
        <v>9</v>
      </c>
      <c r="E12" s="301"/>
      <c r="F12" s="58" t="s">
        <v>141</v>
      </c>
      <c r="G12" s="58" t="s">
        <v>130</v>
      </c>
      <c r="H12" s="301"/>
      <c r="I12" s="78" t="s">
        <v>150</v>
      </c>
    </row>
    <row r="13" spans="1:9" ht="15" x14ac:dyDescent="0.2">
      <c r="A13" s="57">
        <f t="shared" ca="1" si="1"/>
        <v>0.14804918339275697</v>
      </c>
      <c r="B13" s="3">
        <f t="shared" ca="1" si="0"/>
        <v>1</v>
      </c>
      <c r="C13" s="59" t="s">
        <v>153</v>
      </c>
      <c r="D13" s="3">
        <v>10</v>
      </c>
      <c r="E13" s="302" t="s">
        <v>137</v>
      </c>
      <c r="F13" s="58" t="s">
        <v>141</v>
      </c>
      <c r="G13" s="58" t="s">
        <v>130</v>
      </c>
      <c r="H13" s="302" t="s">
        <v>137</v>
      </c>
      <c r="I13" s="79" t="s">
        <v>146</v>
      </c>
    </row>
    <row r="14" spans="1:9" ht="15" x14ac:dyDescent="0.2">
      <c r="A14" s="57">
        <f t="shared" ca="1" si="1"/>
        <v>0.76897482819512586</v>
      </c>
      <c r="B14" s="3">
        <f t="shared" ca="1" si="0"/>
        <v>13</v>
      </c>
      <c r="C14" s="59" t="s">
        <v>154</v>
      </c>
      <c r="D14" s="3">
        <v>11</v>
      </c>
      <c r="E14" s="303"/>
      <c r="F14" s="58" t="s">
        <v>141</v>
      </c>
      <c r="G14" s="58" t="s">
        <v>130</v>
      </c>
      <c r="H14" s="303"/>
      <c r="I14" s="80" t="s">
        <v>149</v>
      </c>
    </row>
    <row r="15" spans="1:9" ht="16" thickBot="1" x14ac:dyDescent="0.25">
      <c r="A15" s="57">
        <f t="shared" ca="1" si="1"/>
        <v>0.94416019386525185</v>
      </c>
      <c r="B15" s="3">
        <f t="shared" ca="1" si="0"/>
        <v>17</v>
      </c>
      <c r="C15" s="59" t="s">
        <v>155</v>
      </c>
      <c r="D15" s="3">
        <v>12</v>
      </c>
      <c r="E15" s="304"/>
      <c r="F15" s="58" t="s">
        <v>141</v>
      </c>
      <c r="G15" s="58" t="s">
        <v>130</v>
      </c>
      <c r="H15" s="304"/>
      <c r="I15" s="81" t="s">
        <v>154</v>
      </c>
    </row>
    <row r="16" spans="1:9" ht="15" x14ac:dyDescent="0.2">
      <c r="A16" s="57">
        <f t="shared" ca="1" si="1"/>
        <v>0.58569350902470851</v>
      </c>
      <c r="B16" s="3">
        <f t="shared" ca="1" si="0"/>
        <v>10</v>
      </c>
      <c r="C16" s="59" t="s">
        <v>156</v>
      </c>
      <c r="D16" s="3">
        <v>13</v>
      </c>
      <c r="E16" s="305" t="s">
        <v>140</v>
      </c>
      <c r="F16" s="58" t="s">
        <v>141</v>
      </c>
      <c r="G16" s="58" t="s">
        <v>130</v>
      </c>
      <c r="H16" s="305" t="s">
        <v>140</v>
      </c>
      <c r="I16" s="82" t="s">
        <v>159</v>
      </c>
    </row>
    <row r="17" spans="1:9" ht="15" x14ac:dyDescent="0.2">
      <c r="A17" s="57">
        <f t="shared" ca="1" si="1"/>
        <v>0.99149272223662455</v>
      </c>
      <c r="B17" s="3">
        <f t="shared" ca="1" si="0"/>
        <v>18</v>
      </c>
      <c r="C17" s="59" t="s">
        <v>157</v>
      </c>
      <c r="D17" s="3">
        <v>14</v>
      </c>
      <c r="E17" s="306"/>
      <c r="F17" s="58" t="s">
        <v>141</v>
      </c>
      <c r="G17" s="58" t="s">
        <v>130</v>
      </c>
      <c r="H17" s="306"/>
      <c r="I17" s="83" t="s">
        <v>156</v>
      </c>
    </row>
    <row r="18" spans="1:9" ht="16" thickBot="1" x14ac:dyDescent="0.25">
      <c r="A18" s="57">
        <f t="shared" ca="1" si="1"/>
        <v>0.66824910776564017</v>
      </c>
      <c r="B18" s="3">
        <f t="shared" ca="1" si="0"/>
        <v>12</v>
      </c>
      <c r="C18" s="59" t="s">
        <v>158</v>
      </c>
      <c r="D18" s="3">
        <v>15</v>
      </c>
      <c r="E18" s="307"/>
      <c r="F18" s="58" t="s">
        <v>141</v>
      </c>
      <c r="G18" s="58" t="s">
        <v>130</v>
      </c>
      <c r="H18" s="307"/>
      <c r="I18" s="83" t="s">
        <v>157</v>
      </c>
    </row>
    <row r="19" spans="1:9" ht="15" x14ac:dyDescent="0.2">
      <c r="A19" s="57">
        <f t="shared" ca="1" si="1"/>
        <v>0.34401677406017839</v>
      </c>
      <c r="B19" s="3">
        <f t="shared" ca="1" si="0"/>
        <v>4</v>
      </c>
      <c r="C19" s="59" t="s">
        <v>159</v>
      </c>
      <c r="D19" s="3">
        <v>16</v>
      </c>
      <c r="E19" s="290" t="s">
        <v>9</v>
      </c>
      <c r="F19" s="58" t="s">
        <v>141</v>
      </c>
      <c r="G19" s="58" t="s">
        <v>130</v>
      </c>
      <c r="H19" s="290" t="s">
        <v>9</v>
      </c>
      <c r="I19" s="84" t="s">
        <v>158</v>
      </c>
    </row>
    <row r="20" spans="1:9" ht="15" x14ac:dyDescent="0.2">
      <c r="A20" s="57">
        <f t="shared" ca="1" si="1"/>
        <v>0.23485796456723984</v>
      </c>
      <c r="B20" s="3">
        <f t="shared" ref="B20:B21" ca="1" si="2">RANK(A20,$A$4:$A$21,1)</f>
        <v>2</v>
      </c>
      <c r="C20" s="69" t="s">
        <v>163</v>
      </c>
      <c r="D20" s="3">
        <v>17</v>
      </c>
      <c r="E20" s="291"/>
      <c r="F20" s="58" t="s">
        <v>141</v>
      </c>
      <c r="G20" s="58" t="s">
        <v>130</v>
      </c>
      <c r="H20" s="291"/>
      <c r="I20" s="85" t="s">
        <v>163</v>
      </c>
    </row>
    <row r="21" spans="1:9" ht="16" thickBot="1" x14ac:dyDescent="0.25">
      <c r="A21" s="57">
        <f t="shared" ca="1" si="1"/>
        <v>0.4787378947758324</v>
      </c>
      <c r="B21" s="3">
        <f t="shared" ca="1" si="2"/>
        <v>6</v>
      </c>
      <c r="C21" s="89" t="s">
        <v>162</v>
      </c>
      <c r="D21" s="3">
        <v>18</v>
      </c>
      <c r="E21" s="292"/>
      <c r="F21" s="58" t="s">
        <v>141</v>
      </c>
      <c r="G21" s="58" t="s">
        <v>130</v>
      </c>
      <c r="H21" s="292"/>
      <c r="I21" s="86" t="s">
        <v>148</v>
      </c>
    </row>
    <row r="22" spans="1:9" x14ac:dyDescent="0.15">
      <c r="A22" s="57"/>
      <c r="B22" s="3"/>
    </row>
    <row r="23" spans="1:9" x14ac:dyDescent="0.15">
      <c r="A23" s="57"/>
      <c r="B23" s="3"/>
      <c r="C23" s="87"/>
    </row>
    <row r="24" spans="1:9" x14ac:dyDescent="0.15">
      <c r="A24" s="57"/>
      <c r="B24" s="3"/>
    </row>
    <row r="25" spans="1:9" x14ac:dyDescent="0.15">
      <c r="A25" s="57"/>
      <c r="B25" s="3"/>
    </row>
    <row r="26" spans="1:9" x14ac:dyDescent="0.15">
      <c r="A26" s="57"/>
      <c r="B26" s="3"/>
    </row>
    <row r="27" spans="1:9" x14ac:dyDescent="0.15">
      <c r="A27" s="57"/>
      <c r="B27" s="3"/>
    </row>
    <row r="28" spans="1:9" x14ac:dyDescent="0.15">
      <c r="A28" s="57"/>
      <c r="B28" s="3"/>
    </row>
    <row r="29" spans="1:9" x14ac:dyDescent="0.15">
      <c r="A29" s="57"/>
      <c r="B29" s="3"/>
    </row>
    <row r="30" spans="1:9" x14ac:dyDescent="0.15">
      <c r="A30" s="57"/>
      <c r="B30" s="3"/>
    </row>
  </sheetData>
  <mergeCells count="12">
    <mergeCell ref="E19:E21"/>
    <mergeCell ref="H4:H6"/>
    <mergeCell ref="H7:H9"/>
    <mergeCell ref="H10:H12"/>
    <mergeCell ref="H13:H15"/>
    <mergeCell ref="H16:H18"/>
    <mergeCell ref="H19:H21"/>
    <mergeCell ref="E4:E6"/>
    <mergeCell ref="E7:E9"/>
    <mergeCell ref="E10:E12"/>
    <mergeCell ref="E13:E15"/>
    <mergeCell ref="E16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17 Etu</vt:lpstr>
    </vt:vector>
  </TitlesOfParts>
  <Company>iut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Manon Auté</cp:lastModifiedBy>
  <dcterms:created xsi:type="dcterms:W3CDTF">2006-09-28T07:58:50Z</dcterms:created>
  <dcterms:modified xsi:type="dcterms:W3CDTF">2022-09-15T13:17:03Z</dcterms:modified>
</cp:coreProperties>
</file>