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9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ny.Huard\OneDrive - BASTIDE MEDICAL\Bureau\FANNY\PERSO\COURS\"/>
    </mc:Choice>
  </mc:AlternateContent>
  <xr:revisionPtr revIDLastSave="0" documentId="13_ncr:1_{5C30133D-468A-4A33-8F57-5A1DCD84AF7C}" xr6:coauthVersionLast="40" xr6:coauthVersionMax="40" xr10:uidLastSave="{00000000-0000-0000-0000-000000000000}"/>
  <bookViews>
    <workbookView xWindow="0" yWindow="0" windowWidth="19200" windowHeight="6910" activeTab="1" xr2:uid="{00000000-000D-0000-FFFF-FFFF00000000}"/>
  </bookViews>
  <sheets>
    <sheet name="Données" sheetId="1" r:id="rId1"/>
    <sheet name="Effectifs H F" sheetId="3" r:id="rId2"/>
    <sheet name="Pyramide des âges" sheetId="6" r:id="rId3"/>
    <sheet name="Satuts" sheetId="4" r:id="rId4"/>
    <sheet name="Statuts Genres" sheetId="5" r:id="rId5"/>
    <sheet name="Temps de Travail" sheetId="10" r:id="rId6"/>
    <sheet name="Temps de Travail Genre" sheetId="9" r:id="rId7"/>
    <sheet name="Entrées" sheetId="11" r:id="rId8"/>
    <sheet name="Sorties" sheetId="13" r:id="rId9"/>
    <sheet name="Absentéisme" sheetId="14" r:id="rId10"/>
    <sheet name="Rémunération" sheetId="15" r:id="rId11"/>
  </sheets>
  <definedNames>
    <definedName name="_xlnm._FilterDatabase" localSheetId="0" hidden="1">Données!$B$6:$O$86</definedName>
    <definedName name="_xlnm._FilterDatabase" localSheetId="10" hidden="1">Rémunération!$B$5:$C$5</definedName>
  </definedNames>
  <calcPr calcId="191029"/>
  <pivotCaches>
    <pivotCache cacheId="0" r:id="rId12"/>
    <pivotCache cacheId="1" r:id="rId13"/>
    <pivotCache cacheId="2" r:id="rId14"/>
    <pivotCache cacheId="3" r:id="rId15"/>
    <pivotCache cacheId="4" r:id="rId16"/>
    <pivotCache cacheId="5" r:id="rId17"/>
  </pivotCaches>
</workbook>
</file>

<file path=xl/calcChain.xml><?xml version="1.0" encoding="utf-8"?>
<calcChain xmlns="http://schemas.openxmlformats.org/spreadsheetml/2006/main">
  <c r="J12" i="15" l="1"/>
  <c r="K12" i="15"/>
  <c r="L12" i="15"/>
  <c r="M12" i="15"/>
  <c r="I12" i="15"/>
  <c r="M11" i="15"/>
  <c r="M10" i="15"/>
  <c r="M9" i="15"/>
  <c r="M8" i="15"/>
  <c r="M7" i="15"/>
  <c r="L11" i="15"/>
  <c r="L10" i="15"/>
  <c r="L9" i="15"/>
  <c r="L8" i="15"/>
  <c r="L7" i="15"/>
  <c r="K11" i="15"/>
  <c r="K10" i="15"/>
  <c r="K9" i="15"/>
  <c r="K8" i="15"/>
  <c r="K7" i="15"/>
  <c r="J11" i="15"/>
  <c r="J10" i="15"/>
  <c r="J9" i="15"/>
  <c r="J8" i="15"/>
  <c r="J7" i="15"/>
  <c r="I11" i="15"/>
  <c r="I10" i="15"/>
  <c r="I9" i="15"/>
  <c r="I8" i="15"/>
  <c r="I7" i="15"/>
  <c r="E19" i="13"/>
  <c r="E17" i="13"/>
  <c r="E21" i="13"/>
  <c r="D13" i="4" l="1"/>
  <c r="D12" i="4"/>
  <c r="D11" i="4"/>
  <c r="D10" i="4"/>
  <c r="D14" i="4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 l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70" i="1"/>
  <c r="N70" i="1" s="1"/>
  <c r="U67" i="1"/>
  <c r="U73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U71" i="1" s="1"/>
  <c r="L49" i="1"/>
  <c r="L48" i="1"/>
  <c r="L47" i="1"/>
  <c r="L46" i="1"/>
  <c r="L45" i="1"/>
  <c r="L44" i="1"/>
  <c r="L43" i="1"/>
  <c r="U69" i="1" s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70" i="1"/>
  <c r="N61" i="1" l="1"/>
  <c r="F6" i="6" s="1"/>
  <c r="G6" i="6" s="1"/>
  <c r="E7" i="6" l="1"/>
  <c r="E10" i="6"/>
  <c r="E8" i="6"/>
  <c r="E9" i="6"/>
  <c r="F10" i="6"/>
  <c r="G10" i="6" s="1"/>
  <c r="F9" i="6"/>
  <c r="G9" i="6" s="1"/>
  <c r="F8" i="6"/>
  <c r="G8" i="6" s="1"/>
  <c r="F7" i="6"/>
  <c r="G7" i="6" s="1"/>
  <c r="E6" i="6"/>
  <c r="F11" i="6" l="1"/>
  <c r="E11" i="6"/>
  <c r="F12" i="6" l="1"/>
</calcChain>
</file>

<file path=xl/sharedStrings.xml><?xml version="1.0" encoding="utf-8"?>
<sst xmlns="http://schemas.openxmlformats.org/spreadsheetml/2006/main" count="484" uniqueCount="208">
  <si>
    <t>NOM Prenom</t>
  </si>
  <si>
    <t>Sexe</t>
  </si>
  <si>
    <t>D_Nais</t>
  </si>
  <si>
    <t>D_Arrivée</t>
  </si>
  <si>
    <t>D_Sortie</t>
  </si>
  <si>
    <t>Statut</t>
  </si>
  <si>
    <t>Motif_Sortie</t>
  </si>
  <si>
    <t>Salaire/an</t>
  </si>
  <si>
    <t>M</t>
  </si>
  <si>
    <t>F</t>
  </si>
  <si>
    <t>Individu_01</t>
  </si>
  <si>
    <t>Individu_02</t>
  </si>
  <si>
    <t>Individu_03</t>
  </si>
  <si>
    <t>Individu_04</t>
  </si>
  <si>
    <t>Individu_05</t>
  </si>
  <si>
    <t>Individu_06</t>
  </si>
  <si>
    <t>Individu_07</t>
  </si>
  <si>
    <t>Individu_08</t>
  </si>
  <si>
    <t>Individu_09</t>
  </si>
  <si>
    <t>Individu_10</t>
  </si>
  <si>
    <t>Individu_11</t>
  </si>
  <si>
    <t>Individu_12</t>
  </si>
  <si>
    <t>Individu_13</t>
  </si>
  <si>
    <t>Individu_14</t>
  </si>
  <si>
    <t>Individu_15</t>
  </si>
  <si>
    <t>Individu_16</t>
  </si>
  <si>
    <t>Individu_17</t>
  </si>
  <si>
    <t>Individu_18</t>
  </si>
  <si>
    <t>Individu_19</t>
  </si>
  <si>
    <t>Individu_20</t>
  </si>
  <si>
    <t>Individu_21</t>
  </si>
  <si>
    <t>Individu_22</t>
  </si>
  <si>
    <t>Individu_23</t>
  </si>
  <si>
    <t>Individu_24</t>
  </si>
  <si>
    <t>Individu_25</t>
  </si>
  <si>
    <t>Individu_26</t>
  </si>
  <si>
    <t>Individu_27</t>
  </si>
  <si>
    <t>Individu_28</t>
  </si>
  <si>
    <t>Individu_29</t>
  </si>
  <si>
    <t>Individu_30</t>
  </si>
  <si>
    <t>Individu_31</t>
  </si>
  <si>
    <t>Individu_32</t>
  </si>
  <si>
    <t>Individu_33</t>
  </si>
  <si>
    <t>Individu_34</t>
  </si>
  <si>
    <t>Individu_35</t>
  </si>
  <si>
    <t>Individu_36</t>
  </si>
  <si>
    <t>Individu_37</t>
  </si>
  <si>
    <t>Individu_38</t>
  </si>
  <si>
    <t>Individu_39</t>
  </si>
  <si>
    <t>Individu_40</t>
  </si>
  <si>
    <t>Tps%</t>
  </si>
  <si>
    <t>Absenteisme</t>
  </si>
  <si>
    <t>ENTREPRISE X</t>
  </si>
  <si>
    <t>Individu_41</t>
  </si>
  <si>
    <t>Individu_42</t>
  </si>
  <si>
    <t>Individu_43</t>
  </si>
  <si>
    <t>Individu_44</t>
  </si>
  <si>
    <t>Individu_45</t>
  </si>
  <si>
    <t>Individu_46</t>
  </si>
  <si>
    <t>Individu_47</t>
  </si>
  <si>
    <t>Individu_48</t>
  </si>
  <si>
    <t>Individu_49</t>
  </si>
  <si>
    <t>Individu_50</t>
  </si>
  <si>
    <t>Individu_51</t>
  </si>
  <si>
    <t>Individu_52</t>
  </si>
  <si>
    <t>Individu_53</t>
  </si>
  <si>
    <t>Individu_54</t>
  </si>
  <si>
    <t>Individu_55</t>
  </si>
  <si>
    <t>Individu_56</t>
  </si>
  <si>
    <t>Individu_57</t>
  </si>
  <si>
    <t>Individu_58</t>
  </si>
  <si>
    <t>Individu_59</t>
  </si>
  <si>
    <t>Individu_60</t>
  </si>
  <si>
    <t>Individu_61</t>
  </si>
  <si>
    <t>Individu_62</t>
  </si>
  <si>
    <t>Individu_63</t>
  </si>
  <si>
    <t>Individu_64</t>
  </si>
  <si>
    <t>Individu_65</t>
  </si>
  <si>
    <t>Individu_66</t>
  </si>
  <si>
    <t>Individu_67</t>
  </si>
  <si>
    <t>Individu_68</t>
  </si>
  <si>
    <t>Individu_69</t>
  </si>
  <si>
    <t>Individu_70</t>
  </si>
  <si>
    <t>Individu_71</t>
  </si>
  <si>
    <t>Individu_72</t>
  </si>
  <si>
    <t>Individu_73</t>
  </si>
  <si>
    <t>Individu_74</t>
  </si>
  <si>
    <t>Individu_75</t>
  </si>
  <si>
    <t>Individu_76</t>
  </si>
  <si>
    <t>Individu_77</t>
  </si>
  <si>
    <t>Individu_78</t>
  </si>
  <si>
    <t>Individu_79</t>
  </si>
  <si>
    <t>Individu_80</t>
  </si>
  <si>
    <t xml:space="preserve">Nom Prénom </t>
  </si>
  <si>
    <t>Décès</t>
  </si>
  <si>
    <t>Démission</t>
  </si>
  <si>
    <t>Retraite</t>
  </si>
  <si>
    <t>Licenciement économique</t>
  </si>
  <si>
    <t>Licenciement non éco</t>
  </si>
  <si>
    <t>Fin de contrat</t>
  </si>
  <si>
    <t>Autres</t>
  </si>
  <si>
    <t>Ouvrier</t>
  </si>
  <si>
    <t>Employé</t>
  </si>
  <si>
    <t>Cadre</t>
  </si>
  <si>
    <t>Directeur</t>
  </si>
  <si>
    <t>Salaire</t>
  </si>
  <si>
    <t>salaire brut annuel (prime incluse)</t>
  </si>
  <si>
    <t>Absentéisme</t>
  </si>
  <si>
    <t>Temps%</t>
  </si>
  <si>
    <t>pour les temps partiels</t>
  </si>
  <si>
    <t>en jours d'absence</t>
  </si>
  <si>
    <t>LEGENDE</t>
  </si>
  <si>
    <t>(par convention, le salaire est payé</t>
  </si>
  <si>
    <t xml:space="preserve">   pendant les absences)</t>
  </si>
  <si>
    <t>Il n'y a pas eu de grève, ni de jours chomés</t>
  </si>
  <si>
    <t>Remarques</t>
  </si>
  <si>
    <t>PROBLEME</t>
  </si>
  <si>
    <t>1°)  Elaborer le bilan social</t>
  </si>
  <si>
    <t>Répartition (sexe, âge, ancienneté)</t>
  </si>
  <si>
    <t>Mouvements (entrées et départs)</t>
  </si>
  <si>
    <t>Rémunération</t>
  </si>
  <si>
    <t>Effectif (selon statut, Temps plein et partiel)</t>
  </si>
  <si>
    <t>2°) Proposer une analyse sociale de l'entreprise</t>
  </si>
  <si>
    <t>Outils :</t>
  </si>
  <si>
    <t>Tableau (en unités et en %) [tri à plat]</t>
  </si>
  <si>
    <t>Croisement des paramètres</t>
  </si>
  <si>
    <t>Graphiques (différentes formes)</t>
  </si>
  <si>
    <t>Rapport avec traitement de texte</t>
  </si>
  <si>
    <t>*</t>
  </si>
  <si>
    <t>BILAN SOCIAL</t>
  </si>
  <si>
    <t xml:space="preserve"> </t>
  </si>
  <si>
    <t>Recommandation : ne pas modifier cette feuille</t>
  </si>
  <si>
    <t>Questions liminaires</t>
  </si>
  <si>
    <t>2) Quel est le salarié le plus jeune ?</t>
  </si>
  <si>
    <t>3) Quel est le salarié le plus ancien ?</t>
  </si>
  <si>
    <t>à cause du RGPD, Numéro</t>
  </si>
  <si>
    <t>Année 2021</t>
  </si>
  <si>
    <t>1) Quel est l'effectif ETP en fin 2021 ?</t>
  </si>
  <si>
    <t>4) Quelle est la masse salariale de 2021 ?</t>
  </si>
  <si>
    <t>Réponses:</t>
  </si>
  <si>
    <t xml:space="preserve">1) l'effectif ETPP en fin 2021 est : </t>
  </si>
  <si>
    <t xml:space="preserve">2) Le salarié le plus jeune est : </t>
  </si>
  <si>
    <t xml:space="preserve">3) Le salarié le plus ancien : </t>
  </si>
  <si>
    <t>4) La masse salariale de 2021 est de :</t>
  </si>
  <si>
    <t>Étiquettes de lignes</t>
  </si>
  <si>
    <t>Total général</t>
  </si>
  <si>
    <t>Nombre de Sexe</t>
  </si>
  <si>
    <t>Somme de Statut</t>
  </si>
  <si>
    <t>Somme de Tps%</t>
  </si>
  <si>
    <t>Nombre de D_Arrivée</t>
  </si>
  <si>
    <t>Étiquettes de colonnes</t>
  </si>
  <si>
    <t>Année d'ancienneté</t>
  </si>
  <si>
    <t>AGE</t>
  </si>
  <si>
    <t>C(Age)</t>
  </si>
  <si>
    <t>FANNY HUARD</t>
  </si>
  <si>
    <t>EMMA FERNANDEZ</t>
  </si>
  <si>
    <t>Premiers tableaux d'analyses</t>
  </si>
  <si>
    <t>Total</t>
  </si>
  <si>
    <t>25 - 35</t>
  </si>
  <si>
    <t>35 - 40</t>
  </si>
  <si>
    <t>40 - 55</t>
  </si>
  <si>
    <t>Supérieur à 55</t>
  </si>
  <si>
    <t xml:space="preserve">Statut </t>
  </si>
  <si>
    <t xml:space="preserve">Effectifs </t>
  </si>
  <si>
    <t>Pyramide des âges</t>
  </si>
  <si>
    <t>Catégories</t>
  </si>
  <si>
    <t>Ages</t>
  </si>
  <si>
    <t xml:space="preserve">Total </t>
  </si>
  <si>
    <t>Tranche d'âge</t>
  </si>
  <si>
    <t>Inférieur à 25</t>
  </si>
  <si>
    <t>Nombre de D_Nais</t>
  </si>
  <si>
    <t>2019</t>
  </si>
  <si>
    <t>2021</t>
  </si>
  <si>
    <t>Entrée des salariés entre 2019 et 2021</t>
  </si>
  <si>
    <t>Sorties des salariés entre 2019 et 2021</t>
  </si>
  <si>
    <t>En poste</t>
  </si>
  <si>
    <t>1j</t>
  </si>
  <si>
    <t>2j</t>
  </si>
  <si>
    <t>3j</t>
  </si>
  <si>
    <t>4j</t>
  </si>
  <si>
    <t>5j</t>
  </si>
  <si>
    <t>9j</t>
  </si>
  <si>
    <t>10j</t>
  </si>
  <si>
    <t>11j</t>
  </si>
  <si>
    <t>12j</t>
  </si>
  <si>
    <t>16j</t>
  </si>
  <si>
    <t>20j</t>
  </si>
  <si>
    <t>24j</t>
  </si>
  <si>
    <t>26j</t>
  </si>
  <si>
    <t>45j</t>
  </si>
  <si>
    <t>90j</t>
  </si>
  <si>
    <t>110j</t>
  </si>
  <si>
    <t>Effectif total au 31/12/2021</t>
  </si>
  <si>
    <t>Statut total au 31/12/2021</t>
  </si>
  <si>
    <t>Répartition des statuts par le genre au 31/12/2021</t>
  </si>
  <si>
    <t>Répartition du Temps de Travail par rapport au genre au 31/12/2021</t>
  </si>
  <si>
    <t>Répartition du Temps de Travail Total au 31/12/2021</t>
  </si>
  <si>
    <t>Absentéisme en jour selon le genre au 31/12/2021</t>
  </si>
  <si>
    <t>Total des sorties</t>
  </si>
  <si>
    <t xml:space="preserve">Total de Femmes </t>
  </si>
  <si>
    <t>Total d'Hommes</t>
  </si>
  <si>
    <t>C(sal)</t>
  </si>
  <si>
    <t>Inférieur à 30 000 €</t>
  </si>
  <si>
    <t>entre 30 000 € et 45 000 €</t>
  </si>
  <si>
    <t>entre 45 000 € et 60 000 €</t>
  </si>
  <si>
    <t>entre 60 000 € et 120 000 €</t>
  </si>
  <si>
    <t>Supérieur à 120 000 €</t>
  </si>
  <si>
    <t>Rémunération par tranche au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</si>
</sst>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CDC800"/>
      <name val="Arial"/>
      <family val="2"/>
    </font>
    <font>
      <b/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7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9" fontId="3" fillId="0" borderId="0" xfId="1" applyFont="1" applyBorder="1"/>
    <xf numFmtId="0" fontId="6" fillId="0" borderId="0" xfId="0" applyFont="1" applyBorder="1"/>
    <xf numFmtId="0" fontId="3" fillId="6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64" fontId="9" fillId="9" borderId="12" xfId="0" applyNumberFormat="1" applyFont="1" applyFill="1" applyBorder="1"/>
    <xf numFmtId="164" fontId="0" fillId="9" borderId="13" xfId="0" applyNumberFormat="1" applyFill="1" applyBorder="1"/>
    <xf numFmtId="0" fontId="0" fillId="9" borderId="14" xfId="0" applyFill="1" applyBorder="1"/>
    <xf numFmtId="164" fontId="0" fillId="9" borderId="15" xfId="0" applyNumberFormat="1" applyFill="1" applyBorder="1"/>
    <xf numFmtId="164" fontId="0" fillId="9" borderId="0" xfId="0" applyNumberFormat="1" applyFill="1" applyBorder="1"/>
    <xf numFmtId="0" fontId="0" fillId="9" borderId="16" xfId="0" applyFill="1" applyBorder="1"/>
    <xf numFmtId="164" fontId="0" fillId="9" borderId="18" xfId="0" applyNumberFormat="1" applyFill="1" applyBorder="1"/>
    <xf numFmtId="0" fontId="0" fillId="9" borderId="19" xfId="0" applyFill="1" applyBorder="1"/>
    <xf numFmtId="164" fontId="1" fillId="9" borderId="15" xfId="0" applyNumberFormat="1" applyFont="1" applyFill="1" applyBorder="1"/>
    <xf numFmtId="164" fontId="1" fillId="9" borderId="17" xfId="0" applyNumberFormat="1" applyFont="1" applyFill="1" applyBorder="1"/>
    <xf numFmtId="0" fontId="4" fillId="2" borderId="8" xfId="0" applyFont="1" applyFill="1" applyBorder="1"/>
    <xf numFmtId="0" fontId="1" fillId="0" borderId="0" xfId="0" applyFont="1" applyBorder="1"/>
    <xf numFmtId="0" fontId="0" fillId="4" borderId="20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9" fontId="0" fillId="4" borderId="21" xfId="0" applyNumberFormat="1" applyFill="1" applyBorder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9" fontId="0" fillId="4" borderId="26" xfId="0" applyNumberFormat="1" applyFill="1" applyBorder="1" applyAlignment="1">
      <alignment horizontal="center"/>
    </xf>
    <xf numFmtId="0" fontId="0" fillId="4" borderId="27" xfId="0" applyNumberFormat="1" applyFill="1" applyBorder="1" applyAlignment="1">
      <alignment horizontal="center"/>
    </xf>
    <xf numFmtId="14" fontId="0" fillId="0" borderId="0" xfId="0" applyNumberFormat="1"/>
    <xf numFmtId="0" fontId="0" fillId="4" borderId="3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12" xfId="0" applyBorder="1"/>
    <xf numFmtId="0" fontId="6" fillId="5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4" borderId="26" xfId="0" applyNumberForma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1" fillId="0" borderId="0" xfId="0" applyFont="1"/>
    <xf numFmtId="2" fontId="0" fillId="4" borderId="0" xfId="0" applyNumberFormat="1" applyFill="1" applyBorder="1" applyAlignment="1">
      <alignment horizontal="center"/>
    </xf>
    <xf numFmtId="0" fontId="0" fillId="10" borderId="15" xfId="0" applyFill="1" applyBorder="1" applyAlignment="1"/>
    <xf numFmtId="0" fontId="0" fillId="10" borderId="0" xfId="0" applyFill="1" applyBorder="1" applyAlignment="1"/>
    <xf numFmtId="2" fontId="0" fillId="10" borderId="0" xfId="0" applyNumberFormat="1" applyFill="1" applyBorder="1" applyAlignment="1"/>
    <xf numFmtId="0" fontId="0" fillId="10" borderId="16" xfId="0" applyFill="1" applyBorder="1" applyAlignment="1"/>
    <xf numFmtId="0" fontId="0" fillId="10" borderId="15" xfId="0" applyFill="1" applyBorder="1"/>
    <xf numFmtId="0" fontId="0" fillId="10" borderId="0" xfId="0" applyFill="1" applyBorder="1"/>
    <xf numFmtId="0" fontId="0" fillId="10" borderId="16" xfId="0" applyFill="1" applyBorder="1"/>
    <xf numFmtId="3" fontId="0" fillId="10" borderId="0" xfId="0" applyNumberForma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0" borderId="0" xfId="0" pivotButton="1" applyBorder="1"/>
    <xf numFmtId="0" fontId="0" fillId="0" borderId="0" xfId="0" applyNumberFormat="1" applyBorder="1"/>
    <xf numFmtId="0" fontId="0" fillId="0" borderId="3" xfId="0" pivotButton="1" applyBorder="1"/>
    <xf numFmtId="0" fontId="0" fillId="0" borderId="3" xfId="0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3" fillId="0" borderId="4" xfId="0" applyFont="1" applyBorder="1"/>
    <xf numFmtId="164" fontId="0" fillId="0" borderId="4" xfId="0" applyNumberFormat="1" applyBorder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Border="1" applyAlignment="1">
      <alignment horizontal="right"/>
    </xf>
    <xf numFmtId="0" fontId="11" fillId="0" borderId="0" xfId="0" pivotButton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2" fillId="0" borderId="0" xfId="0" pivotButton="1" applyFont="1" applyBorder="1" applyAlignment="1">
      <alignment horizontal="right"/>
    </xf>
    <xf numFmtId="0" fontId="12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NumberFormat="1" applyFont="1"/>
    <xf numFmtId="3" fontId="0" fillId="4" borderId="21" xfId="0" applyNumberForma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0" fillId="13" borderId="32" xfId="0" applyNumberFormat="1" applyFill="1" applyBorder="1" applyAlignment="1">
      <alignment horizontal="center"/>
    </xf>
    <xf numFmtId="0" fontId="0" fillId="14" borderId="32" xfId="0" applyNumberFormat="1" applyFill="1" applyBorder="1" applyAlignment="1">
      <alignment horizontal="center"/>
    </xf>
    <xf numFmtId="0" fontId="1" fillId="14" borderId="32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164" fontId="0" fillId="14" borderId="32" xfId="0" applyNumberFormat="1" applyFill="1" applyBorder="1" applyAlignment="1">
      <alignment horizontal="center"/>
    </xf>
    <xf numFmtId="0" fontId="0" fillId="14" borderId="32" xfId="0" applyFill="1" applyBorder="1"/>
    <xf numFmtId="0" fontId="0" fillId="14" borderId="32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13" fillId="15" borderId="36" xfId="0" applyFont="1" applyFill="1" applyBorder="1" applyAlignment="1">
      <alignment horizontal="center"/>
    </xf>
    <xf numFmtId="0" fontId="15" fillId="16" borderId="35" xfId="0" applyFont="1" applyFill="1" applyBorder="1" applyAlignment="1">
      <alignment horizontal="center"/>
    </xf>
    <xf numFmtId="0" fontId="15" fillId="16" borderId="36" xfId="0" applyFont="1" applyFill="1" applyBorder="1" applyAlignment="1">
      <alignment horizontal="center"/>
    </xf>
    <xf numFmtId="0" fontId="11" fillId="17" borderId="35" xfId="0" applyFont="1" applyFill="1" applyBorder="1" applyAlignment="1">
      <alignment horizontal="center"/>
    </xf>
    <xf numFmtId="0" fontId="11" fillId="17" borderId="36" xfId="0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14" fillId="8" borderId="38" xfId="0" applyFont="1" applyFill="1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0" fontId="0" fillId="0" borderId="39" xfId="0" applyBorder="1"/>
    <xf numFmtId="0" fontId="6" fillId="5" borderId="40" xfId="0" applyFont="1" applyFill="1" applyBorder="1"/>
    <xf numFmtId="0" fontId="0" fillId="0" borderId="40" xfId="0" applyBorder="1"/>
    <xf numFmtId="0" fontId="0" fillId="0" borderId="41" xfId="0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3" fillId="0" borderId="3" xfId="0" applyFont="1" applyBorder="1"/>
    <xf numFmtId="164" fontId="0" fillId="0" borderId="3" xfId="0" applyNumberFormat="1" applyBorder="1"/>
    <xf numFmtId="164" fontId="0" fillId="0" borderId="5" xfId="0" applyNumberForma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left"/>
    </xf>
    <xf numFmtId="0" fontId="6" fillId="0" borderId="8" xfId="0" applyFont="1" applyBorder="1"/>
    <xf numFmtId="0" fontId="6" fillId="0" borderId="10" xfId="0" applyFont="1" applyBorder="1"/>
    <xf numFmtId="0" fontId="0" fillId="4" borderId="2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18" borderId="32" xfId="0" applyFont="1" applyFill="1" applyBorder="1" applyAlignment="1">
      <alignment horizontal="center"/>
    </xf>
    <xf numFmtId="3" fontId="0" fillId="14" borderId="2" xfId="0" applyNumberFormat="1" applyFill="1" applyBorder="1" applyAlignment="1">
      <alignment horizontal="center"/>
    </xf>
    <xf numFmtId="3" fontId="0" fillId="14" borderId="3" xfId="0" applyNumberForma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0" fillId="10" borderId="12" xfId="0" applyFont="1" applyFill="1" applyBorder="1" applyAlignment="1">
      <alignment horizontal="left"/>
    </xf>
    <xf numFmtId="0" fontId="10" fillId="10" borderId="13" xfId="0" applyFont="1" applyFill="1" applyBorder="1" applyAlignment="1">
      <alignment horizontal="left"/>
    </xf>
    <xf numFmtId="0" fontId="10" fillId="10" borderId="14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</cellXfs>
  <cellStyles count="2">
    <cellStyle name="Normal" xfId="0" builtinId="0"/>
    <cellStyle name="Pourcentage" xfId="1" builtinId="5"/>
  </cellStyles>
  <dxfs count="124">
    <dxf>
      <alignment horizontal="right"/>
    </dxf>
    <dxf>
      <alignment horizontal="right"/>
    </dxf>
    <dxf>
      <alignment horizontal="right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right"/>
    </dxf>
    <dxf>
      <alignment horizontal="right"/>
    </dxf>
    <dxf>
      <alignment horizontal="right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CDC800"/>
      <color rgb="FFFFFF8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.xlsx]Effectifs H F!Tableau croisé dynamique8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Effectif</a:t>
            </a:r>
            <a:r>
              <a:rPr lang="fr-FR" baseline="0"/>
              <a:t> au 31/12/2021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'Effectifs H F'!$D$10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98-4E48-B435-24322D14EEF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F98-4E48-B435-24322D14E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'Effectifs H F'!$C$11:$C$13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'Effectifs H F'!$D$11:$D$13</c:f>
              <c:numCache>
                <c:formatCode>General</c:formatCode>
                <c:ptCount val="2"/>
                <c:pt idx="0">
                  <c:v>29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8-4E48-B435-24322D14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 des 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'Pyramide des âges'!$E$5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66666666666666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45-4DFC-93BC-4F19FEADBEDA}"/>
                </c:ext>
              </c:extLst>
            </c:dLbl>
            <c:dLbl>
              <c:idx val="1"/>
              <c:layout>
                <c:manualLayout>
                  <c:x val="-0.18611111111111101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45-4DFC-93BC-4F19FEADBEDA}"/>
                </c:ext>
              </c:extLst>
            </c:dLbl>
            <c:dLbl>
              <c:idx val="2"/>
              <c:layout>
                <c:manualLayout>
                  <c:x val="-0.1111111111111112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45-4DFC-93BC-4F19FEADBEDA}"/>
                </c:ext>
              </c:extLst>
            </c:dLbl>
            <c:dLbl>
              <c:idx val="3"/>
              <c:layout>
                <c:manualLayout>
                  <c:x val="-8.61111111111111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45-4DFC-93BC-4F19FEADBEDA}"/>
                </c:ext>
              </c:extLst>
            </c:dLbl>
            <c:dLbl>
              <c:idx val="4"/>
              <c:layout>
                <c:manualLayout>
                  <c:x val="-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45-4DFC-93BC-4F19FEADB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'Pyramide des âges'!$D$6:$D$10</c:f>
              <c:strCache>
                <c:ptCount val="5"/>
                <c:pt idx="0">
                  <c:v>Inférieur à 25</c:v>
                </c:pt>
                <c:pt idx="1">
                  <c:v>25 - 35</c:v>
                </c:pt>
                <c:pt idx="2">
                  <c:v>35 - 40</c:v>
                </c:pt>
                <c:pt idx="3">
                  <c:v>40 - 55</c:v>
                </c:pt>
                <c:pt idx="4">
                  <c:v>Supérieur à 55</c:v>
                </c:pt>
              </c:strCache>
            </c:strRef>
          </c:cat>
          <c:val>
            <c:numRef>
              <c:f>'Pyramide des âges'!$E$6:$E$10</c:f>
              <c:numCache>
                <c:formatCode>General</c:formatCode>
                <c:ptCount val="5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5-4DFC-93BC-4F19FEADBEDA}"/>
            </c:ext>
          </c:extLst>
        </c:ser>
        <c:ser>
          <c:idx val="2"/>
          <c:order val="2"/>
          <c:tx>
            <c:strRef>
              <c:f>'Pyramide des âges'!$G$5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2777777777777778E-2"/>
                  <c:y val="-8.487556272013328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45-4DFC-93BC-4F19FEADBEDA}"/>
                </c:ext>
              </c:extLst>
            </c:dLbl>
            <c:dLbl>
              <c:idx val="1"/>
              <c:layout>
                <c:manualLayout>
                  <c:x val="-9.999999999999995E-2"/>
                  <c:y val="-8.487556272013328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45-4DFC-93BC-4F19FEADBEDA}"/>
                </c:ext>
              </c:extLst>
            </c:dLbl>
            <c:dLbl>
              <c:idx val="2"/>
              <c:layout>
                <c:manualLayout>
                  <c:x val="-0.05"/>
                  <c:y val="-8.487556272013328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5-4DFC-93BC-4F19FEADBEDA}"/>
                </c:ext>
              </c:extLst>
            </c:dLbl>
            <c:dLbl>
              <c:idx val="3"/>
              <c:layout>
                <c:manualLayout>
                  <c:x val="-0.1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45-4DFC-93BC-4F19FEADBEDA}"/>
                </c:ext>
              </c:extLst>
            </c:dLbl>
            <c:dLbl>
              <c:idx val="4"/>
              <c:layout>
                <c:manualLayout>
                  <c:x val="-0.0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45-4DFC-93BC-4F19FEADB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'Pyramide des âges'!$D$6:$D$10</c:f>
              <c:strCache>
                <c:ptCount val="5"/>
                <c:pt idx="0">
                  <c:v>Inférieur à 25</c:v>
                </c:pt>
                <c:pt idx="1">
                  <c:v>25 - 35</c:v>
                </c:pt>
                <c:pt idx="2">
                  <c:v>35 - 40</c:v>
                </c:pt>
                <c:pt idx="3">
                  <c:v>40 - 55</c:v>
                </c:pt>
                <c:pt idx="4">
                  <c:v>Supérieur à 55</c:v>
                </c:pt>
              </c:strCache>
            </c:strRef>
          </c:cat>
          <c:val>
            <c:numRef>
              <c:f>'Pyramide des âges'!$G$6:$G$10</c:f>
              <c:numCache>
                <c:formatCode>General</c:formatCode>
                <c:ptCount val="5"/>
                <c:pt idx="0">
                  <c:v>-3</c:v>
                </c:pt>
                <c:pt idx="1">
                  <c:v>-8</c:v>
                </c:pt>
                <c:pt idx="2">
                  <c:v>-3</c:v>
                </c:pt>
                <c:pt idx="3">
                  <c:v>-12</c:v>
                </c:pt>
                <c:pt idx="4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5-4DFC-93BC-4F19FEADB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54522928"/>
        <c:axId val="5545226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'Pyramide des âges'!$F$5</c15:sqref>
                        </c15:formulaRef>
                      </c:ext>
                    </c:extLst>
                    <c:strCache>
                      <c:ptCount val="1"/>
                      <c:pt idx="0">
                        <c:v>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'Pyramide des âges'!$D$6:$D$10</c15:sqref>
                        </c15:formulaRef>
                      </c:ext>
                    </c:extLst>
                    <c:strCache>
                      <c:ptCount val="5"/>
                      <c:pt idx="0">
                        <c:v>Inférieur à 25</c:v>
                      </c:pt>
                      <c:pt idx="1">
                        <c:v>25 - 35</c:v>
                      </c:pt>
                      <c:pt idx="2">
                        <c:v>35 - 40</c:v>
                      </c:pt>
                      <c:pt idx="3">
                        <c:v>40 - 55</c:v>
                      </c:pt>
                      <c:pt idx="4">
                        <c:v>Supérieur à 55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'Pyramide des âges'!$F$6:$F$10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</c:v>
                      </c:pt>
                      <c:pt idx="1">
                        <c:v>8</c:v>
                      </c:pt>
                      <c:pt idx="2">
                        <c:v>3</c:v>
                      </c:pt>
                      <c:pt idx="3">
                        <c:v>12</c:v>
                      </c:pt>
                      <c:pt idx="4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245-4DFC-93BC-4F19FEADBEDA}"/>
                  </c:ext>
                </c:extLst>
              </c15:ser>
            </c15:filteredBarSeries>
          </c:ext>
        </c:extLst>
      </c:barChart>
      <c:catAx>
        <c:axId val="55452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522600"/>
        <c:crosses val="autoZero"/>
        <c:auto val="1"/>
        <c:lblAlgn val="ctr"/>
        <c:lblOffset val="100"/>
        <c:noMultiLvlLbl val="0"/>
      </c:catAx>
      <c:valAx>
        <c:axId val="554522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52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</a:t>
            </a:r>
            <a:r>
              <a:rPr lang="en-US" baseline="0"/>
              <a:t> des statuts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Satuts!$D$9</c:f>
              <c:strCache>
                <c:ptCount val="1"/>
                <c:pt idx="0">
                  <c:v>Effectifs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F5A-4E38-AD96-063C673244C1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A-4E38-AD96-063C673244C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F5A-4E38-AD96-063C673244C1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A-4E38-AD96-063C673244C1}"/>
              </c:ext>
            </c:extLst>
          </c:dPt>
          <c:val>
            <c:numRef>
              <c:f>Satuts!$D$10:$D$13</c:f>
              <c:numCache>
                <c:formatCode>General</c:formatCode>
                <c:ptCount val="4"/>
                <c:pt idx="0">
                  <c:v>28</c:v>
                </c:pt>
                <c:pt idx="1">
                  <c:v>19</c:v>
                </c:pt>
                <c:pt idx="2">
                  <c:v>13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A-4E38-AD96-063C6732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112216"/>
        <c:axId val="556113200"/>
      </c:barChart>
      <c:catAx>
        <c:axId val="556112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113200"/>
        <c:crosses val="autoZero"/>
        <c:auto val="1"/>
        <c:lblAlgn val="ctr"/>
        <c:lblOffset val="100"/>
        <c:noMultiLvlLbl val="0"/>
      </c:catAx>
      <c:valAx>
        <c:axId val="5561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11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.xlsx]Statuts Genres!Tableau croisé dynamique4</c:name>
    <c:fmtId val="3"/>
  </c:pivotSource>
  <c:chart>
    <c:autoTitleDeleted val="0"/>
    <c:pivotFmts>
      <c:pivotFmt>
        <c:idx val="0"/>
        <c:spPr>
          <a:solidFill>
            <a:srgbClr val="00B0F0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rgbClr val="FF0000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'Statuts Genres'!$C$9:$C$10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'Statuts Genres'!$B$11:$B$15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'Statuts Genres'!$C$11:$C$15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2-4074-A7A7-05C823CB0D23}"/>
            </c:ext>
          </c:extLst>
        </c:ser>
        <c:ser>
          <c:idx val="1"/>
          <c:order val="1"/>
          <c:tx>
            <c:strRef>
              <c:f>'Statuts Genres'!$D$9:$D$10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'Statuts Genres'!$B$11:$B$15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'Statuts Genres'!$D$11:$D$15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2-4074-A7A7-05C823CB0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8779960"/>
        <c:axId val="528783896"/>
        <c:axId val="0"/>
      </c:bar3DChart>
      <c:catAx>
        <c:axId val="528779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8783896"/>
        <c:crosses val="autoZero"/>
        <c:auto val="1"/>
        <c:lblAlgn val="ctr"/>
        <c:lblOffset val="100"/>
        <c:noMultiLvlLbl val="0"/>
      </c:catAx>
      <c:valAx>
        <c:axId val="528783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87799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.xlsx]Temps de Travail!Tableau croisé dynamique4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du temps de travail </a:t>
            </a:r>
          </a:p>
        </c:rich>
      </c:tx>
      <c:layout>
        <c:manualLayout>
          <c:xMode val="edge"/>
          <c:yMode val="edge"/>
          <c:x val="0.45361111111111119"/>
          <c:y val="4.9905220180810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166666666666666"/>
              <c:y val="4.629629629629612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7030A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944444444444434"/>
              <c:y val="-5.09259259259259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11111111111111"/>
              <c:y val="-0.1157407407407407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5.5555555555555046E-3"/>
              <c:y val="-0.1527777777777777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277777777777783"/>
              <c:y val="-0.1435185185185185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6407764654418198"/>
          <c:y val="0.30788276465441822"/>
          <c:w val="0.35240048118985129"/>
          <c:h val="0.58733413531641876"/>
        </c:manualLayout>
      </c:layout>
      <c:doughnutChart>
        <c:varyColors val="1"/>
        <c:ser>
          <c:idx val="0"/>
          <c:order val="0"/>
          <c:tx>
            <c:strRef>
              <c:f>'Temps de Travail'!$C$6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EE-4926-9A72-A7146A292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EE-4926-9A72-A7146A292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EE-4926-9A72-A7146A292D7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BEE-4926-9A72-A7146A292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EE-4926-9A72-A7146A292D7C}"/>
              </c:ext>
            </c:extLst>
          </c:dPt>
          <c:dLbls>
            <c:dLbl>
              <c:idx val="0"/>
              <c:layout>
                <c:manualLayout>
                  <c:x val="-0.10277777777777783"/>
                  <c:y val="-0.14351851851851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EE-4926-9A72-A7146A292D7C}"/>
                </c:ext>
              </c:extLst>
            </c:dLbl>
            <c:dLbl>
              <c:idx val="1"/>
              <c:layout>
                <c:manualLayout>
                  <c:x val="5.5555555555555046E-3"/>
                  <c:y val="-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E-4926-9A72-A7146A292D7C}"/>
                </c:ext>
              </c:extLst>
            </c:dLbl>
            <c:dLbl>
              <c:idx val="2"/>
              <c:layout>
                <c:manualLayout>
                  <c:x val="0.1111111111111111"/>
                  <c:y val="-0.11574074074074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EE-4926-9A72-A7146A292D7C}"/>
                </c:ext>
              </c:extLst>
            </c:dLbl>
            <c:dLbl>
              <c:idx val="3"/>
              <c:layout>
                <c:manualLayout>
                  <c:x val="0.11944444444444434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E-4926-9A72-A7146A292D7C}"/>
                </c:ext>
              </c:extLst>
            </c:dLbl>
            <c:dLbl>
              <c:idx val="4"/>
              <c:layout>
                <c:manualLayout>
                  <c:x val="-0.14166666666666666"/>
                  <c:y val="4.6296296296296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E-4926-9A72-A7146A292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'Temps de Travail'!$B$7:$B$12</c:f>
              <c:strCache>
                <c:ptCount val="5"/>
                <c:pt idx="0">
                  <c:v>50%</c:v>
                </c:pt>
                <c:pt idx="1">
                  <c:v>60%</c:v>
                </c:pt>
                <c:pt idx="2">
                  <c:v>70%</c:v>
                </c:pt>
                <c:pt idx="3">
                  <c:v>80%</c:v>
                </c:pt>
                <c:pt idx="4">
                  <c:v>100%</c:v>
                </c:pt>
              </c:strCache>
            </c:strRef>
          </c:cat>
          <c:val>
            <c:numRef>
              <c:f>'Temps de Travail'!$C$7:$C$12</c:f>
              <c:numCache>
                <c:formatCode>General</c:formatCode>
                <c:ptCount val="5"/>
                <c:pt idx="0">
                  <c:v>1</c:v>
                </c:pt>
                <c:pt idx="1">
                  <c:v>1.7999999999999998</c:v>
                </c:pt>
                <c:pt idx="2">
                  <c:v>0.7</c:v>
                </c:pt>
                <c:pt idx="3">
                  <c:v>3.2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E-4926-9A72-A7146A2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00000000000002"/>
          <c:y val="0.25686205890930303"/>
          <c:w val="0.21111111111111111"/>
          <c:h val="0.60141258384368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.xlsx]Temps de Travail Genre!Tableau croisé dynamique8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Temps de Travail selon le Genre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'Temps de Travail Genre'!$C$5:$C$6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de Travail Genre'!$B$7:$B$9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'Temps de Travail Genre'!$C$7:$C$9</c:f>
              <c:numCache>
                <c:formatCode>General</c:formatCode>
                <c:ptCount val="2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E-4440-8F81-2159A4D36E0D}"/>
            </c:ext>
          </c:extLst>
        </c:ser>
        <c:ser>
          <c:idx val="1"/>
          <c:order val="1"/>
          <c:tx>
            <c:strRef>
              <c:f>'Temps de Travail Genre'!$D$5:$D$6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de Travail Genre'!$B$7:$B$9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'Temps de Travail Genre'!$D$7:$D$9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E-4440-8F81-2159A4D36E0D}"/>
            </c:ext>
          </c:extLst>
        </c:ser>
        <c:ser>
          <c:idx val="2"/>
          <c:order val="2"/>
          <c:tx>
            <c:strRef>
              <c:f>'Temps de Travail Genre'!$E$5:$E$6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de Travail Genre'!$B$7:$B$9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'Temps de Travail Genre'!$E$7:$E$9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E-4440-8F81-2159A4D36E0D}"/>
            </c:ext>
          </c:extLst>
        </c:ser>
        <c:ser>
          <c:idx val="3"/>
          <c:order val="3"/>
          <c:tx>
            <c:strRef>
              <c:f>'Temps de Travail Genre'!$F$5:$F$6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de Travail Genre'!$B$7:$B$9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'Temps de Travail Genre'!$F$7:$F$9</c:f>
              <c:numCache>
                <c:formatCode>General</c:formatCode>
                <c:ptCount val="2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7E-4440-8F81-2159A4D36E0D}"/>
            </c:ext>
          </c:extLst>
        </c:ser>
        <c:ser>
          <c:idx val="4"/>
          <c:order val="4"/>
          <c:tx>
            <c:strRef>
              <c:f>'Temps de Travail Genre'!$G$5:$G$6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de Travail Genre'!$B$7:$B$9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'Temps de Travail Genre'!$G$7:$G$9</c:f>
              <c:numCache>
                <c:formatCode>General</c:formatCode>
                <c:ptCount val="2"/>
                <c:pt idx="0">
                  <c:v>25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7E-4440-8F81-2159A4D3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419104"/>
        <c:axId val="553419432"/>
      </c:barChart>
      <c:catAx>
        <c:axId val="55341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3419432"/>
        <c:crosses val="autoZero"/>
        <c:auto val="1"/>
        <c:lblAlgn val="ctr"/>
        <c:lblOffset val="100"/>
        <c:noMultiLvlLbl val="0"/>
      </c:catAx>
      <c:valAx>
        <c:axId val="55341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341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.xlsx]Entrées!Tableau croisé dynamique2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Entrée</a:t>
            </a:r>
            <a:r>
              <a:rPr lang="fr-FR" baseline="0"/>
              <a:t> de salarié entre 2019 et 2021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tx2">
              <a:lumMod val="60000"/>
              <a:lumOff val="40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Entrées!$C$6:$C$7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Entrées!$B$8:$B$10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Entrées!$C$8:$C$10</c:f>
              <c:numCache>
                <c:formatCode>General</c:formatCode>
                <c:ptCount val="2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7-429E-92FE-AE7F089920E0}"/>
            </c:ext>
          </c:extLst>
        </c:ser>
        <c:ser>
          <c:idx val="1"/>
          <c:order val="1"/>
          <c:tx>
            <c:strRef>
              <c:f>Entrées!$D$6:$D$7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Entrées!$B$8:$B$10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Entrées!$D$8:$D$10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7-429E-92FE-AE7F08992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4750464"/>
        <c:axId val="554752760"/>
        <c:axId val="0"/>
      </c:bar3DChart>
      <c:catAx>
        <c:axId val="5547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752760"/>
        <c:crosses val="autoZero"/>
        <c:auto val="1"/>
        <c:lblAlgn val="ctr"/>
        <c:lblOffset val="100"/>
        <c:noMultiLvlLbl val="0"/>
      </c:catAx>
      <c:valAx>
        <c:axId val="55475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7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[exo_bilan_social première phase FERNANDEZ Emma et HUARD Fanny .xlsx]Absentéisme!Tableau croisé dynamique11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Absentéisme en jour selon le genre</a:t>
            </a:r>
          </a:p>
        </c:rich>
      </c:tx>
      <c:layout>
        <c:manualLayout>
          <c:xMode val="edge"/>
          <c:yMode val="edge"/>
          <c:x val="0.3660556631992366"/>
          <c:y val="4.5263961687110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6580927384076991E-2"/>
          <c:y val="0.14249781277340332"/>
          <c:w val="0.71119685039370084"/>
          <c:h val="0.65853091280256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Absentéisme!$C$6:$C$7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Absentéisme!$C$8:$C$10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D-4D67-A18A-59F9A6ACD958}"/>
            </c:ext>
          </c:extLst>
        </c:ser>
        <c:ser>
          <c:idx val="1"/>
          <c:order val="1"/>
          <c:tx>
            <c:strRef>
              <c:f>Absentéisme!$D$6:$D$7</c:f>
              <c:strCache>
                <c:ptCount val="1"/>
                <c:pt idx="0">
                  <c:v>1j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Absentéisme!$D$8:$D$10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D-4D67-A18A-59F9A6ACD958}"/>
            </c:ext>
          </c:extLst>
        </c:ser>
        <c:ser>
          <c:idx val="2"/>
          <c:order val="2"/>
          <c:tx>
            <c:strRef>
              <c:f>Absentéisme!$E$6:$E$7</c:f>
              <c:strCache>
                <c:ptCount val="1"/>
                <c:pt idx="0">
                  <c:v>2j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Absentéisme!$E$8:$E$10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D-4D67-A18A-59F9A6ACD958}"/>
            </c:ext>
          </c:extLst>
        </c:ser>
        <c:ser>
          <c:idx val="3"/>
          <c:order val="3"/>
          <c:tx>
            <c:strRef>
              <c:f>Absentéisme!$F$6:$F$7</c:f>
              <c:strCache>
                <c:ptCount val="1"/>
                <c:pt idx="0">
                  <c:v>3j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Absentéisme!$F$8:$F$10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D-4D67-A18A-59F9A6ACD958}"/>
            </c:ext>
          </c:extLst>
        </c:ser>
        <c:ser>
          <c:idx val="4"/>
          <c:order val="4"/>
          <c:tx>
            <c:strRef>
              <c:f>Absentéisme!$G$6:$G$7</c:f>
              <c:strCache>
                <c:ptCount val="1"/>
                <c:pt idx="0">
                  <c:v>4j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Absentéisme!$G$8:$G$10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5D-4D67-A18A-59F9A6ACD958}"/>
            </c:ext>
          </c:extLst>
        </c:ser>
        <c:ser>
          <c:idx val="5"/>
          <c:order val="5"/>
          <c:tx>
            <c:strRef>
              <c:f>Absentéisme!$H$6:$H$7</c:f>
              <c:strCache>
                <c:ptCount val="1"/>
                <c:pt idx="0">
                  <c:v>5j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Absentéisme!$H$8:$H$10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5D-4D67-A18A-59F9A6ACD958}"/>
            </c:ext>
          </c:extLst>
        </c:ser>
        <c:ser>
          <c:idx val="6"/>
          <c:order val="6"/>
          <c:tx>
            <c:strRef>
              <c:f>Absentéisme!$I$6:$I$7</c:f>
              <c:strCache>
                <c:ptCount val="1"/>
                <c:pt idx="0">
                  <c:v>9j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Absentéisme!$I$8:$I$10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D-4D67-A18A-59F9A6ACD958}"/>
            </c:ext>
          </c:extLst>
        </c:ser>
        <c:ser>
          <c:idx val="7"/>
          <c:order val="7"/>
          <c:tx>
            <c:strRef>
              <c:f>Absentéisme!$J$6:$J$7</c:f>
              <c:strCache>
                <c:ptCount val="1"/>
                <c:pt idx="0">
                  <c:v>10j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Absentéisme!$J$8:$J$10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5D-4D67-A18A-59F9A6ACD958}"/>
            </c:ext>
          </c:extLst>
        </c:ser>
        <c:ser>
          <c:idx val="8"/>
          <c:order val="8"/>
          <c:tx>
            <c:strRef>
              <c:f>Absentéisme!$K$6:$K$7</c:f>
              <c:strCache>
                <c:ptCount val="1"/>
                <c:pt idx="0">
                  <c:v>11j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Absentéisme!$K$8:$K$10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5D-4D67-A18A-59F9A6ACD958}"/>
            </c:ext>
          </c:extLst>
        </c:ser>
        <c:ser>
          <c:idx val="9"/>
          <c:order val="9"/>
          <c:tx>
            <c:strRef>
              <c:f>Absentéisme!$L$6:$L$7</c:f>
              <c:strCache>
                <c:ptCount val="1"/>
                <c:pt idx="0">
                  <c:v>12j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Absentéisme!$L$8:$L$10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5D-4D67-A18A-59F9A6ACD958}"/>
            </c:ext>
          </c:extLst>
        </c:ser>
        <c:ser>
          <c:idx val="10"/>
          <c:order val="10"/>
          <c:tx>
            <c:strRef>
              <c:f>Absentéisme!$M$6:$M$7</c:f>
              <c:strCache>
                <c:ptCount val="1"/>
                <c:pt idx="0">
                  <c:v>16j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Absentéisme!$M$8:$M$10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5D-4D67-A18A-59F9A6ACD958}"/>
            </c:ext>
          </c:extLst>
        </c:ser>
        <c:ser>
          <c:idx val="11"/>
          <c:order val="11"/>
          <c:tx>
            <c:strRef>
              <c:f>Absentéisme!$N$6:$N$7</c:f>
              <c:strCache>
                <c:ptCount val="1"/>
                <c:pt idx="0">
                  <c:v>20j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Absentéisme!$N$8:$N$10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5D-4D67-A18A-59F9A6ACD958}"/>
            </c:ext>
          </c:extLst>
        </c:ser>
        <c:ser>
          <c:idx val="12"/>
          <c:order val="12"/>
          <c:tx>
            <c:strRef>
              <c:f>Absentéisme!$O$6:$O$7</c:f>
              <c:strCache>
                <c:ptCount val="1"/>
                <c:pt idx="0">
                  <c:v>24j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Absentéisme!$O$8:$O$10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5D-4D67-A18A-59F9A6ACD958}"/>
            </c:ext>
          </c:extLst>
        </c:ser>
        <c:ser>
          <c:idx val="13"/>
          <c:order val="13"/>
          <c:tx>
            <c:strRef>
              <c:f>Absentéisme!$P$6:$P$7</c:f>
              <c:strCache>
                <c:ptCount val="1"/>
                <c:pt idx="0">
                  <c:v>26j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Absentéisme!$P$8:$P$10</c:f>
              <c:numCache>
                <c:formatCode>General</c:formatCode>
                <c:ptCount val="2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5D-4D67-A18A-59F9A6ACD958}"/>
            </c:ext>
          </c:extLst>
        </c:ser>
        <c:ser>
          <c:idx val="14"/>
          <c:order val="14"/>
          <c:tx>
            <c:strRef>
              <c:f>Absentéisme!$Q$6:$Q$7</c:f>
              <c:strCache>
                <c:ptCount val="1"/>
                <c:pt idx="0">
                  <c:v>45j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Absentéisme!$Q$8:$Q$10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5D-4D67-A18A-59F9A6ACD958}"/>
            </c:ext>
          </c:extLst>
        </c:ser>
        <c:ser>
          <c:idx val="15"/>
          <c:order val="15"/>
          <c:tx>
            <c:strRef>
              <c:f>Absentéisme!$R$6:$R$7</c:f>
              <c:strCache>
                <c:ptCount val="1"/>
                <c:pt idx="0">
                  <c:v>90j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Absentéisme!$R$8:$R$10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65D-4D67-A18A-59F9A6ACD958}"/>
            </c:ext>
          </c:extLst>
        </c:ser>
        <c:ser>
          <c:idx val="16"/>
          <c:order val="16"/>
          <c:tx>
            <c:strRef>
              <c:f>Absentéisme!$S$6:$S$7</c:f>
              <c:strCache>
                <c:ptCount val="1"/>
                <c:pt idx="0">
                  <c:v>110j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Absentéisme!$B$8:$B$10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Absentéisme!$S$8:$S$10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65D-4D67-A18A-59F9A6AC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489432"/>
        <c:axId val="556492056"/>
      </c:barChart>
      <c:catAx>
        <c:axId val="5564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92056"/>
        <c:crosses val="autoZero"/>
        <c:auto val="1"/>
        <c:lblAlgn val="ctr"/>
        <c:lblOffset val="100"/>
        <c:noMultiLvlLbl val="0"/>
      </c:catAx>
      <c:valAx>
        <c:axId val="55649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894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33333333333346"/>
          <c:y val="0.19755686789151355"/>
          <c:w val="0.16192164768808523"/>
          <c:h val="0.6491641366631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Rémunération par tranche au 31/12/2021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Rémunération!$I$6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Rémunération!$H$7:$H$11</c:f>
              <c:strCache>
                <c:ptCount val="5"/>
                <c:pt idx="0">
                  <c:v>Inférieur à 30 000 €</c:v>
                </c:pt>
                <c:pt idx="1">
                  <c:v>entre 30 000 € et 45 000 €</c:v>
                </c:pt>
                <c:pt idx="2">
                  <c:v>entre 45 000 € et 60 000 €</c:v>
                </c:pt>
                <c:pt idx="3">
                  <c:v>entre 60 000 € et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Rémunération!$I$7:$I$11</c:f>
              <c:numCache>
                <c:formatCode>General</c:formatCode>
                <c:ptCount val="5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B-43D6-B3D0-1FCDFD1B0725}"/>
            </c:ext>
          </c:extLst>
        </c:ser>
        <c:ser>
          <c:idx val="1"/>
          <c:order val="1"/>
          <c:tx>
            <c:strRef>
              <c:f>Rémunération!$J$6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Rémunération!$H$7:$H$11</c:f>
              <c:strCache>
                <c:ptCount val="5"/>
                <c:pt idx="0">
                  <c:v>Inférieur à 30 000 €</c:v>
                </c:pt>
                <c:pt idx="1">
                  <c:v>entre 30 000 € et 45 000 €</c:v>
                </c:pt>
                <c:pt idx="2">
                  <c:v>entre 45 000 € et 60 000 €</c:v>
                </c:pt>
                <c:pt idx="3">
                  <c:v>entre 60 000 € et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Rémunération!$J$7:$J$11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B-43D6-B3D0-1FCDFD1B0725}"/>
            </c:ext>
          </c:extLst>
        </c:ser>
        <c:ser>
          <c:idx val="2"/>
          <c:order val="2"/>
          <c:tx>
            <c:strRef>
              <c:f>Rémunération!$K$6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Rémunération!$H$7:$H$11</c:f>
              <c:strCache>
                <c:ptCount val="5"/>
                <c:pt idx="0">
                  <c:v>Inférieur à 30 000 €</c:v>
                </c:pt>
                <c:pt idx="1">
                  <c:v>entre 30 000 € et 45 000 €</c:v>
                </c:pt>
                <c:pt idx="2">
                  <c:v>entre 45 000 € et 60 000 €</c:v>
                </c:pt>
                <c:pt idx="3">
                  <c:v>entre 60 000 € et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Rémunération!$K$7:$K$11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B-43D6-B3D0-1FCDFD1B0725}"/>
            </c:ext>
          </c:extLst>
        </c:ser>
        <c:ser>
          <c:idx val="3"/>
          <c:order val="3"/>
          <c:tx>
            <c:strRef>
              <c:f>Rémunération!$L$6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Rémunération!$H$7:$H$11</c:f>
              <c:strCache>
                <c:ptCount val="5"/>
                <c:pt idx="0">
                  <c:v>Inférieur à 30 000 €</c:v>
                </c:pt>
                <c:pt idx="1">
                  <c:v>entre 30 000 € et 45 000 €</c:v>
                </c:pt>
                <c:pt idx="2">
                  <c:v>entre 45 000 € et 60 000 €</c:v>
                </c:pt>
                <c:pt idx="3">
                  <c:v>entre 60 000 € et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Rémunération!$L$7:$L$11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8B-43D6-B3D0-1FCDFD1B0725}"/>
            </c:ext>
          </c:extLst>
        </c:ser>
        <c:ser>
          <c:idx val="4"/>
          <c:order val="4"/>
          <c:tx>
            <c:strRef>
              <c:f>Rémunération!$M$6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Rémunération!$H$7:$H$11</c:f>
              <c:strCache>
                <c:ptCount val="5"/>
                <c:pt idx="0">
                  <c:v>Inférieur à 30 000 €</c:v>
                </c:pt>
                <c:pt idx="1">
                  <c:v>entre 30 000 € et 45 000 €</c:v>
                </c:pt>
                <c:pt idx="2">
                  <c:v>entre 45 000 € et 60 000 €</c:v>
                </c:pt>
                <c:pt idx="3">
                  <c:v>entre 60 000 € et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Rémunération!$M$7:$M$11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8B-43D6-B3D0-1FCDFD1B0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04664"/>
        <c:axId val="561299744"/>
      </c:barChart>
      <c:catAx>
        <c:axId val="561304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1299744"/>
        <c:crosses val="autoZero"/>
        <c:auto val="1"/>
        <c:lblAlgn val="ctr"/>
        <c:lblOffset val="100"/>
        <c:noMultiLvlLbl val="0"/>
      </c:catAx>
      <c:valAx>
        <c:axId val="56129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13046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5</xdr:row>
      <xdr:rowOff>25400</xdr:rowOff>
    </xdr:from>
    <xdr:to>
      <xdr:col>11</xdr:col>
      <xdr:colOff>146050</xdr:colOff>
      <xdr:row>21</xdr:row>
      <xdr:rowOff>57150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807F7BA-1760-4E1E-AFDC-25C8C2A85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13</xdr:row>
      <xdr:rowOff>0</xdr:rowOff>
    </xdr:from>
    <xdr:to>
      <xdr:col>6</xdr:col>
      <xdr:colOff>231775</xdr:colOff>
      <xdr:row>30</xdr:row>
      <xdr:rowOff>44450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9E013D-5309-4AAB-A922-F01121301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12700</xdr:rowOff>
    </xdr:from>
    <xdr:to>
      <xdr:col>11</xdr:col>
      <xdr:colOff>298450</xdr:colOff>
      <xdr:row>19</xdr:row>
      <xdr:rowOff>139700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068ED91-E2D3-48EB-AE80-070C789FB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889000</xdr:colOff>
      <xdr:row>4</xdr:row>
      <xdr:rowOff>6350</xdr:rowOff>
    </xdr:from>
    <xdr:to>
      <xdr:col>10</xdr:col>
      <xdr:colOff>215900</xdr:colOff>
      <xdr:row>19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2328B9-973A-4ECB-BFEF-48505DF7B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4</xdr:row>
      <xdr:rowOff>12700</xdr:rowOff>
    </xdr:from>
    <xdr:to>
      <xdr:col>10</xdr:col>
      <xdr:colOff>6350</xdr:colOff>
      <xdr:row>21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E24860B-ADEF-4D9B-970B-4F6F3ACA1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12700</xdr:rowOff>
    </xdr:from>
    <xdr:to>
      <xdr:col>5</xdr:col>
      <xdr:colOff>0</xdr:colOff>
      <xdr:row>28</xdr:row>
      <xdr:rowOff>57150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DB0E74C-0D2B-4DFC-8F5B-BCAE469FB9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12</xdr:row>
      <xdr:rowOff>12700</xdr:rowOff>
    </xdr:from>
    <xdr:to>
      <xdr:col>4</xdr:col>
      <xdr:colOff>603250</xdr:colOff>
      <xdr:row>29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22B34B-F2F0-4FF5-A664-C351F536FE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933448</xdr:colOff>
      <xdr:row>10</xdr:row>
      <xdr:rowOff>160866</xdr:rowOff>
    </xdr:from>
    <xdr:to>
      <xdr:col>11</xdr:col>
      <xdr:colOff>35278</xdr:colOff>
      <xdr:row>33</xdr:row>
      <xdr:rowOff>14111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3A608A-32E2-4596-AE4B-7DA5C0057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676274</xdr:colOff>
      <xdr:row>14</xdr:row>
      <xdr:rowOff>6350</xdr:rowOff>
    </xdr:from>
    <xdr:to>
      <xdr:col>12</xdr:col>
      <xdr:colOff>330199</xdr:colOff>
      <xdr:row>31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D85C957-76F2-4A53-AF03-4F889E91F0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0100910K" refreshedDate="44813.638071875001" createdVersion="7" refreshedVersion="7" minRefreshableVersion="3" recordCount="64" xr:uid="{16720F74-5819-4C14-84C0-6B662B4CEF2C}">
  <cacheSource type="worksheet">
    <worksheetSource ref="F6:F70" sheet="Données"/>
  </cacheSource>
  <cacheFields count="1">
    <cacheField name="Statut" numFmtId="0">
      <sharedItems containsSemiMixedTypes="0" containsString="0" containsNumber="1" containsInteger="1" minValue="1" maxValue="4" count="4">
        <n v="1"/>
        <n v="2"/>
        <n v="4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0100910K" refreshedDate="44813.638930555557" createdVersion="7" refreshedVersion="7" minRefreshableVersion="3" recordCount="64" xr:uid="{E675144F-98D7-4B58-BEEB-55CF5D7FA37F}">
  <cacheSource type="worksheet">
    <worksheetSource ref="I6:I70" sheet="Données"/>
  </cacheSource>
  <cacheFields count="1">
    <cacheField name="Tps%" numFmtId="9">
      <sharedItems containsSemiMixedTypes="0" containsString="0" containsNumber="1" minValue="0.5" maxValue="1" count="5">
        <n v="1"/>
        <n v="0.7"/>
        <n v="0.8"/>
        <n v="0.6"/>
        <n v="0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0100910K" refreshedDate="44813.643439004627" createdVersion="7" refreshedVersion="7" minRefreshableVersion="3" recordCount="64" xr:uid="{C76B0305-C916-423C-B804-EABA7B431842}">
  <cacheSource type="worksheet">
    <worksheetSource ref="C6:F70" sheet="Données"/>
  </cacheSource>
  <cacheFields count="4">
    <cacheField name="Sexe" numFmtId="0">
      <sharedItems count="2">
        <s v="F"/>
        <s v="M"/>
      </sharedItems>
    </cacheField>
    <cacheField name="D_Nais" numFmtId="164">
      <sharedItems containsSemiMixedTypes="0" containsNonDate="0" containsDate="1" containsString="0" minDate="1960-12-17T00:00:00" maxDate="1999-01-14T00:00:00"/>
    </cacheField>
    <cacheField name="D_Arrivée" numFmtId="164">
      <sharedItems containsSemiMixedTypes="0" containsNonDate="0" containsDate="1" containsString="0" minDate="1979-03-01T00:00:00" maxDate="2021-09-02T00:00:00"/>
    </cacheField>
    <cacheField name="Statut" numFmtId="0">
      <sharedItems containsSemiMixedTypes="0" containsString="0" containsNumber="1" containsInteger="1" minValue="1" maxValue="4" count="4">
        <n v="1"/>
        <n v="2"/>
        <n v="4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Huard" refreshedDate="44818.830051504628" createdVersion="6" refreshedVersion="6" minRefreshableVersion="3" recordCount="64" xr:uid="{69976DE2-DF27-4820-912D-FEDA611EB4E1}">
  <cacheSource type="worksheet">
    <worksheetSource ref="C6:C70" sheet="Données"/>
  </cacheSource>
  <cacheFields count="1">
    <cacheField name="Sexe" numFmtId="0">
      <sharedItems count="2">
        <s v="F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Huard" refreshedDate="44819.704323958336" createdVersion="6" refreshedVersion="6" minRefreshableVersion="3" recordCount="64" xr:uid="{3BC67678-048B-4AF0-BF9E-A84A0103840E}">
  <cacheSource type="worksheet">
    <worksheetSource ref="B6:I70" sheet="Données"/>
  </cacheSource>
  <cacheFields count="12">
    <cacheField name="NOM Prenom" numFmtId="0">
      <sharedItems/>
    </cacheField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60-12-17T00:00:00" maxDate="1999-01-14T00:00:00" count="64">
        <d v="1981-05-22T00:00:00"/>
        <d v="1969-08-13T00:00:00"/>
        <d v="1978-02-08T00:00:00"/>
        <d v="1994-10-04T00:00:00"/>
        <d v="1973-11-06T00:00:00"/>
        <d v="1992-03-16T00:00:00"/>
        <d v="1996-07-29T00:00:00"/>
        <d v="1985-12-02T00:00:00"/>
        <d v="1986-11-10T00:00:00"/>
        <d v="1979-02-24T00:00:00"/>
        <d v="1993-06-17T00:00:00"/>
        <d v="1965-04-02T00:00:00"/>
        <d v="1965-09-01T00:00:00"/>
        <d v="1967-05-20T00:00:00"/>
        <d v="1969-11-29T00:00:00"/>
        <d v="1971-12-20T00:00:00"/>
        <d v="1977-11-30T00:00:00"/>
        <d v="1978-03-18T00:00:00"/>
        <d v="1978-07-16T00:00:00"/>
        <d v="1980-11-22T00:00:00"/>
        <d v="1981-04-20T00:00:00"/>
        <d v="1983-01-28T00:00:00"/>
        <d v="1983-03-12T00:00:00"/>
        <d v="1984-08-23T00:00:00"/>
        <d v="1987-12-06T00:00:00"/>
        <d v="1989-11-03T00:00:00"/>
        <d v="1990-10-12T00:00:00"/>
        <d v="1991-08-04T00:00:00"/>
        <d v="1992-09-08T00:00:00"/>
        <d v="1994-06-17T00:00:00"/>
        <d v="1994-12-30T00:00:00"/>
        <d v="1998-09-27T00:00:00"/>
        <d v="1994-10-26T00:00:00"/>
        <d v="1978-03-19T00:00:00"/>
        <d v="1981-04-28T00:00:00"/>
        <d v="1983-09-04T00:00:00"/>
        <d v="1999-01-13T00:00:00"/>
        <d v="1990-04-17T00:00:00"/>
        <d v="1994-08-14T00:00:00"/>
        <d v="1984-10-26T00:00:00"/>
        <d v="1972-04-11T00:00:00"/>
        <d v="1992-06-21T00:00:00"/>
        <d v="1978-07-12T00:00:00"/>
        <d v="1960-12-17T00:00:00"/>
        <d v="1995-04-18T00:00:00"/>
        <d v="1993-07-15T00:00:00"/>
        <d v="1998-07-14T00:00:00"/>
        <d v="1983-02-17T00:00:00"/>
        <d v="1973-11-22T00:00:00"/>
        <d v="1991-11-25T00:00:00"/>
        <d v="1965-07-31T00:00:00"/>
        <d v="1981-09-01T00:00:00"/>
        <d v="1979-07-26T00:00:00"/>
        <d v="1967-06-14T00:00:00"/>
        <d v="1996-08-23T00:00:00"/>
        <d v="1966-01-11T00:00:00"/>
        <d v="1986-05-26T00:00:00"/>
        <d v="1988-01-19T00:00:00"/>
        <d v="1965-12-04T00:00:00"/>
        <d v="1978-12-10T00:00:00"/>
        <d v="1986-01-11T00:00:00"/>
        <d v="1981-01-05T00:00:00"/>
        <d v="1990-12-11T00:00:00"/>
        <d v="1992-09-25T00:00:00"/>
      </sharedItems>
      <fieldGroup par="11" base="2">
        <rangePr groupBy="months" startDate="1960-12-17T00:00:00" endDate="1999-01-14T00:00:00"/>
        <groupItems count="14">
          <s v="&lt;17/12/196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4/01/1999"/>
        </groupItems>
      </fieldGroup>
    </cacheField>
    <cacheField name="D_Arrivée" numFmtId="164">
      <sharedItems containsSemiMixedTypes="0" containsNonDate="0" containsDate="1" containsString="0" minDate="1979-03-01T00:00:00" maxDate="2021-09-02T00:00:00" count="37">
        <d v="2004-05-01T00:00:00"/>
        <d v="1989-08-01T00:00:00"/>
        <d v="2003-02-01T00:00:00"/>
        <d v="2013-03-01T00:00:00"/>
        <d v="2002-01-01T00:00:00"/>
        <d v="2017-06-01T00:00:00"/>
        <d v="2019-08-01T00:00:00"/>
        <d v="2013-11-01T00:00:00"/>
        <d v="2005-11-01T00:00:00"/>
        <d v="2010-07-01T00:00:00"/>
        <d v="2014-12-01T00:00:00"/>
        <d v="1989-07-01T00:00:00"/>
        <d v="1983-02-01T00:00:00"/>
        <d v="1994-12-01T00:00:00"/>
        <d v="1998-09-01T00:00:00"/>
        <d v="1996-05-01T00:00:00"/>
        <d v="2001-01-01T00:00:00"/>
        <d v="2012-06-01T00:00:00"/>
        <d v="2002-11-01T00:00:00"/>
        <d v="2016-05-01T00:00:00"/>
        <d v="2006-12-01T00:00:00"/>
        <d v="2018-12-01T00:00:00"/>
        <d v="2008-08-01T00:00:00"/>
        <d v="2014-03-01T00:00:00"/>
        <d v="2014-09-01T00:00:00"/>
        <d v="2012-04-01T00:00:00"/>
        <d v="2018-01-01T00:00:00"/>
        <d v="2016-08-01T00:00:00"/>
        <d v="2015-06-01T00:00:00"/>
        <d v="2018-07-01T00:00:00"/>
        <d v="2019-06-01T00:00:00"/>
        <d v="1979-03-01T00:00:00"/>
        <d v="2019-01-01T00:00:00"/>
        <d v="2018-08-01T00:00:00"/>
        <d v="2021-09-01T00:00:00"/>
        <d v="1990-11-01T00:00:00"/>
        <d v="2005-10-01T00:00:00"/>
      </sharedItems>
      <fieldGroup par="9" base="3">
        <rangePr groupBy="months" startDate="1979-03-01T00:00:00" endDate="2021-09-02T00:00:00"/>
        <groupItems count="14">
          <s v="&lt;01/03/197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09/2021"/>
        </groupItems>
      </fieldGroup>
    </cacheField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alaire/an" numFmtId="3">
      <sharedItems containsSemiMixedTypes="0" containsString="0" containsNumber="1" containsInteger="1" minValue="16844" maxValue="153446" count="62">
        <n v="28175"/>
        <n v="21906"/>
        <n v="35152"/>
        <n v="28269"/>
        <n v="49929"/>
        <n v="20234"/>
        <n v="31481"/>
        <n v="26961"/>
        <n v="26059"/>
        <n v="16844"/>
        <n v="28882"/>
        <n v="55313"/>
        <n v="99367"/>
        <n v="27374"/>
        <n v="27482"/>
        <n v="27579"/>
        <n v="24385"/>
        <n v="28418"/>
        <n v="28264"/>
        <n v="30969"/>
        <n v="20523"/>
        <n v="30759"/>
        <n v="54566"/>
        <n v="46356"/>
        <n v="127272"/>
        <n v="52174"/>
        <n v="27082"/>
        <n v="25951"/>
        <n v="28732"/>
        <n v="26252"/>
        <n v="50237"/>
        <n v="103749"/>
        <n v="23826"/>
        <n v="27903"/>
        <n v="27854"/>
        <n v="54312"/>
        <n v="44203"/>
        <n v="27680"/>
        <n v="29245"/>
        <n v="29109"/>
        <n v="33352"/>
        <n v="29545"/>
        <n v="33734"/>
        <n v="53110"/>
        <n v="59173"/>
        <n v="27529"/>
        <n v="35644"/>
        <n v="28605"/>
        <n v="36555"/>
        <n v="19864"/>
        <n v="27914"/>
        <n v="29146"/>
        <n v="55420"/>
        <n v="33306"/>
        <n v="52441"/>
        <n v="153446"/>
        <n v="32704"/>
        <n v="28774"/>
        <n v="23432"/>
        <n v="36340"/>
        <n v="28309"/>
        <n v="29519"/>
      </sharedItems>
    </cacheField>
    <cacheField name="Absenteisme" numFmtId="0">
      <sharedItems containsSemiMixedTypes="0" containsString="0" containsNumber="1" containsInteger="1" minValue="0" maxValue="110" count="17">
        <n v="0"/>
        <n v="24"/>
        <n v="11"/>
        <n v="2"/>
        <n v="1"/>
        <n v="45"/>
        <n v="3"/>
        <n v="4"/>
        <n v="10"/>
        <n v="20"/>
        <n v="90"/>
        <n v="16"/>
        <n v="9"/>
        <n v="5"/>
        <n v="26"/>
        <n v="110"/>
        <n v="12"/>
      </sharedItems>
    </cacheField>
    <cacheField name="Tps%" numFmtId="9">
      <sharedItems containsSemiMixedTypes="0" containsString="0" containsNumber="1" minValue="0.5" maxValue="1" count="5">
        <n v="1"/>
        <n v="0.5"/>
        <n v="0.6"/>
        <n v="0.8"/>
        <n v="0.7"/>
      </sharedItems>
    </cacheField>
    <cacheField name="Trimestres" numFmtId="0" databaseField="0">
      <fieldGroup base="3">
        <rangePr groupBy="quarters" startDate="1979-03-01T00:00:00" endDate="2021-09-02T00:00:00"/>
        <groupItems count="6">
          <s v="&lt;01/03/1979"/>
          <s v="Trimestre1"/>
          <s v="Trimestre2"/>
          <s v="Trimestre3"/>
          <s v="Trimestre4"/>
          <s v="&gt;02/09/2021"/>
        </groupItems>
      </fieldGroup>
    </cacheField>
    <cacheField name="Années" numFmtId="0" databaseField="0">
      <fieldGroup base="3">
        <rangePr groupBy="years" startDate="1979-03-01T00:00:00" endDate="2021-09-02T00:00:00"/>
        <groupItems count="45">
          <s v="&lt;01/03/1979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02/09/2021"/>
        </groupItems>
      </fieldGroup>
    </cacheField>
    <cacheField name="Trimestres2" numFmtId="0" databaseField="0">
      <fieldGroup base="2">
        <rangePr groupBy="quarters" startDate="1960-12-17T00:00:00" endDate="1999-01-14T00:00:00"/>
        <groupItems count="6">
          <s v="&lt;17/12/1960"/>
          <s v="Trimestre1"/>
          <s v="Trimestre2"/>
          <s v="Trimestre3"/>
          <s v="Trimestre4"/>
          <s v="&gt;14/01/1999"/>
        </groupItems>
      </fieldGroup>
    </cacheField>
    <cacheField name="Années2" numFmtId="0" databaseField="0">
      <fieldGroup base="2">
        <rangePr groupBy="years" startDate="1960-12-17T00:00:00" endDate="1999-01-14T00:00:00"/>
        <groupItems count="42">
          <s v="&lt;17/12/1960"/>
          <s v="1960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&gt;14/01/199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Huard" refreshedDate="44819.748207638891" createdVersion="6" refreshedVersion="6" minRefreshableVersion="3" recordCount="80" xr:uid="{FA8E219D-D64E-4E03-951E-A70D373526F5}">
  <cacheSource type="worksheet">
    <worksheetSource ref="B6:K86" sheet="Données"/>
  </cacheSource>
  <cacheFields count="10">
    <cacheField name="NOM Prenom" numFmtId="0">
      <sharedItems/>
    </cacheField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60-08-18T00:00:00" maxDate="1999-01-14T00:00:00"/>
    </cacheField>
    <cacheField name="D_Arrivée" numFmtId="164">
      <sharedItems containsSemiMixedTypes="0" containsNonDate="0" containsDate="1" containsString="0" minDate="1979-03-01T00:00:00" maxDate="2021-09-02T00:00:00"/>
    </cacheField>
    <cacheField name="Statut" numFmtId="0">
      <sharedItems containsSemiMixedTypes="0" containsString="0" containsNumber="1" containsInteger="1" minValue="1" maxValue="4"/>
    </cacheField>
    <cacheField name="Salaire/an" numFmtId="3">
      <sharedItems containsSemiMixedTypes="0" containsString="0" containsNumber="1" containsInteger="1" minValue="4375" maxValue="153446"/>
    </cacheField>
    <cacheField name="Absenteisme" numFmtId="0">
      <sharedItems containsSemiMixedTypes="0" containsString="0" containsNumber="1" containsInteger="1" minValue="0" maxValue="110"/>
    </cacheField>
    <cacheField name="Tps%" numFmtId="9">
      <sharedItems containsSemiMixedTypes="0" containsString="0" containsNumber="1" minValue="0.5" maxValue="1"/>
    </cacheField>
    <cacheField name="D_Sortie" numFmtId="164">
      <sharedItems containsDate="1" containsMixedTypes="1" minDate="2021-04-30T00:00:00" maxDate="2021-10-01T00:00:00" count="7">
        <s v=" "/>
        <d v="2021-09-30T00:00:00"/>
        <d v="2021-08-31T00:00:00"/>
        <d v="2021-07-31T00:00:00"/>
        <d v="2021-06-30T00:00:00"/>
        <d v="2021-05-31T00:00:00"/>
        <d v="2021-04-30T00:00:00"/>
      </sharedItems>
    </cacheField>
    <cacheField name="Motif_Sortie" numFmtId="0">
      <sharedItems containsMixedTypes="1" containsNumber="1" containsInteger="1" minValue="1" maxValue="7" count="6">
        <s v=" "/>
        <n v="2"/>
        <n v="5"/>
        <n v="3"/>
        <n v="1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0"/>
  </r>
  <r>
    <x v="1"/>
  </r>
  <r>
    <x v="1"/>
  </r>
  <r>
    <x v="1"/>
  </r>
  <r>
    <x v="0"/>
  </r>
  <r>
    <x v="2"/>
  </r>
  <r>
    <x v="3"/>
  </r>
  <r>
    <x v="0"/>
  </r>
  <r>
    <x v="3"/>
  </r>
  <r>
    <x v="0"/>
  </r>
  <r>
    <x v="0"/>
  </r>
  <r>
    <x v="1"/>
  </r>
  <r>
    <x v="3"/>
  </r>
  <r>
    <x v="0"/>
  </r>
  <r>
    <x v="3"/>
  </r>
  <r>
    <x v="1"/>
  </r>
  <r>
    <x v="3"/>
  </r>
  <r>
    <x v="3"/>
  </r>
  <r>
    <x v="1"/>
  </r>
  <r>
    <x v="0"/>
  </r>
  <r>
    <x v="1"/>
  </r>
  <r>
    <x v="0"/>
  </r>
  <r>
    <x v="1"/>
  </r>
  <r>
    <x v="0"/>
  </r>
  <r>
    <x v="1"/>
  </r>
  <r>
    <x v="3"/>
  </r>
  <r>
    <x v="0"/>
  </r>
  <r>
    <x v="0"/>
  </r>
  <r>
    <x v="0"/>
  </r>
  <r>
    <x v="2"/>
  </r>
  <r>
    <x v="3"/>
  </r>
  <r>
    <x v="0"/>
  </r>
  <r>
    <x v="0"/>
  </r>
  <r>
    <x v="0"/>
  </r>
  <r>
    <x v="0"/>
  </r>
  <r>
    <x v="0"/>
  </r>
  <r>
    <x v="0"/>
  </r>
  <r>
    <x v="3"/>
  </r>
  <r>
    <x v="2"/>
  </r>
  <r>
    <x v="3"/>
  </r>
  <r>
    <x v="3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3"/>
  </r>
  <r>
    <x v="1"/>
  </r>
  <r>
    <x v="1"/>
  </r>
  <r>
    <x v="0"/>
  </r>
  <r>
    <x v="0"/>
  </r>
  <r>
    <x v="1"/>
  </r>
  <r>
    <x v="1"/>
  </r>
  <r>
    <x v="3"/>
  </r>
  <r>
    <x v="1"/>
  </r>
  <r>
    <x v="1"/>
  </r>
  <r>
    <x v="1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2"/>
  </r>
  <r>
    <x v="0"/>
  </r>
  <r>
    <x v="3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3"/>
  </r>
  <r>
    <x v="0"/>
  </r>
  <r>
    <x v="0"/>
  </r>
  <r>
    <x v="0"/>
  </r>
  <r>
    <x v="4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d v="1992-09-25T00:00:00"/>
    <d v="2016-08-01T00:00:00"/>
    <x v="0"/>
  </r>
  <r>
    <x v="1"/>
    <d v="1990-12-11T00:00:00"/>
    <d v="2012-04-01T00:00:00"/>
    <x v="0"/>
  </r>
  <r>
    <x v="1"/>
    <d v="1981-01-05T00:00:00"/>
    <d v="2021-09-01T00:00:00"/>
    <x v="1"/>
  </r>
  <r>
    <x v="0"/>
    <d v="1986-01-11T00:00:00"/>
    <d v="2005-10-01T00:00:00"/>
    <x v="1"/>
  </r>
  <r>
    <x v="0"/>
    <d v="1978-12-10T00:00:00"/>
    <d v="2002-11-01T00:00:00"/>
    <x v="1"/>
  </r>
  <r>
    <x v="0"/>
    <d v="1965-12-04T00:00:00"/>
    <d v="1983-02-01T00:00:00"/>
    <x v="0"/>
  </r>
  <r>
    <x v="1"/>
    <d v="1988-01-19T00:00:00"/>
    <d v="2014-03-01T00:00:00"/>
    <x v="2"/>
  </r>
  <r>
    <x v="0"/>
    <d v="1986-05-26T00:00:00"/>
    <d v="2013-11-01T00:00:00"/>
    <x v="3"/>
  </r>
  <r>
    <x v="1"/>
    <d v="1966-01-11T00:00:00"/>
    <d v="1990-11-01T00:00:00"/>
    <x v="0"/>
  </r>
  <r>
    <x v="1"/>
    <d v="1996-08-23T00:00:00"/>
    <d v="2021-09-01T00:00:00"/>
    <x v="3"/>
  </r>
  <r>
    <x v="1"/>
    <d v="1967-06-14T00:00:00"/>
    <d v="1994-12-01T00:00:00"/>
    <x v="0"/>
  </r>
  <r>
    <x v="0"/>
    <d v="1979-07-26T00:00:00"/>
    <d v="2010-07-01T00:00:00"/>
    <x v="0"/>
  </r>
  <r>
    <x v="1"/>
    <d v="1981-09-01T00:00:00"/>
    <d v="2018-08-01T00:00:00"/>
    <x v="1"/>
  </r>
  <r>
    <x v="0"/>
    <d v="1965-07-31T00:00:00"/>
    <d v="1989-07-01T00:00:00"/>
    <x v="3"/>
  </r>
  <r>
    <x v="0"/>
    <d v="1991-11-25T00:00:00"/>
    <d v="2019-01-01T00:00:00"/>
    <x v="0"/>
  </r>
  <r>
    <x v="1"/>
    <d v="1973-11-22T00:00:00"/>
    <d v="2002-01-01T00:00:00"/>
    <x v="3"/>
  </r>
  <r>
    <x v="1"/>
    <d v="1983-02-17T00:00:00"/>
    <d v="2006-12-01T00:00:00"/>
    <x v="1"/>
  </r>
  <r>
    <x v="0"/>
    <d v="1998-07-14T00:00:00"/>
    <d v="2018-07-01T00:00:00"/>
    <x v="3"/>
  </r>
  <r>
    <x v="1"/>
    <d v="1993-07-15T00:00:00"/>
    <d v="2014-12-01T00:00:00"/>
    <x v="3"/>
  </r>
  <r>
    <x v="0"/>
    <d v="1995-04-18T00:00:00"/>
    <d v="2015-06-01T00:00:00"/>
    <x v="1"/>
  </r>
  <r>
    <x v="0"/>
    <d v="1960-12-17T00:00:00"/>
    <d v="1979-03-01T00:00:00"/>
    <x v="0"/>
  </r>
  <r>
    <x v="0"/>
    <d v="1978-07-12T00:00:00"/>
    <d v="2012-06-01T00:00:00"/>
    <x v="1"/>
  </r>
  <r>
    <x v="1"/>
    <d v="1992-06-21T00:00:00"/>
    <d v="2017-06-01T00:00:00"/>
    <x v="0"/>
  </r>
  <r>
    <x v="0"/>
    <d v="1972-04-11T00:00:00"/>
    <d v="1996-05-01T00:00:00"/>
    <x v="1"/>
  </r>
  <r>
    <x v="1"/>
    <d v="1984-10-26T00:00:00"/>
    <d v="2008-08-01T00:00:00"/>
    <x v="0"/>
  </r>
  <r>
    <x v="0"/>
    <d v="1994-08-14T00:00:00"/>
    <d v="2015-06-01T00:00:00"/>
    <x v="1"/>
  </r>
  <r>
    <x v="1"/>
    <d v="1990-04-17T00:00:00"/>
    <d v="2014-09-01T00:00:00"/>
    <x v="3"/>
  </r>
  <r>
    <x v="1"/>
    <d v="1999-01-13T00:00:00"/>
    <d v="2019-06-01T00:00:00"/>
    <x v="0"/>
  </r>
  <r>
    <x v="1"/>
    <d v="1983-09-04T00:00:00"/>
    <d v="2018-12-01T00:00:00"/>
    <x v="0"/>
  </r>
  <r>
    <x v="1"/>
    <d v="1981-04-28T00:00:00"/>
    <d v="2016-05-01T00:00:00"/>
    <x v="0"/>
  </r>
  <r>
    <x v="0"/>
    <d v="1978-03-19T00:00:00"/>
    <d v="2001-01-01T00:00:00"/>
    <x v="2"/>
  </r>
  <r>
    <x v="1"/>
    <d v="1994-10-26T00:00:00"/>
    <d v="2013-03-01T00:00:00"/>
    <x v="3"/>
  </r>
  <r>
    <x v="0"/>
    <d v="1998-09-27T00:00:00"/>
    <d v="2018-07-01T00:00:00"/>
    <x v="0"/>
  </r>
  <r>
    <x v="1"/>
    <d v="1994-12-30T00:00:00"/>
    <d v="2015-06-01T00:00:00"/>
    <x v="0"/>
  </r>
  <r>
    <x v="0"/>
    <d v="1994-06-17T00:00:00"/>
    <d v="2015-06-01T00:00:00"/>
    <x v="0"/>
  </r>
  <r>
    <x v="1"/>
    <d v="1992-09-08T00:00:00"/>
    <d v="2016-08-01T00:00:00"/>
    <x v="0"/>
  </r>
  <r>
    <x v="1"/>
    <d v="1991-08-04T00:00:00"/>
    <d v="2018-01-01T00:00:00"/>
    <x v="0"/>
  </r>
  <r>
    <x v="1"/>
    <d v="1990-10-12T00:00:00"/>
    <d v="2012-04-01T00:00:00"/>
    <x v="0"/>
  </r>
  <r>
    <x v="1"/>
    <d v="1989-11-03T00:00:00"/>
    <d v="2014-09-01T00:00:00"/>
    <x v="3"/>
  </r>
  <r>
    <x v="1"/>
    <d v="1987-12-06T00:00:00"/>
    <d v="2014-03-01T00:00:00"/>
    <x v="2"/>
  </r>
  <r>
    <x v="0"/>
    <d v="1984-08-23T00:00:00"/>
    <d v="2008-08-01T00:00:00"/>
    <x v="3"/>
  </r>
  <r>
    <x v="1"/>
    <d v="1983-03-12T00:00:00"/>
    <d v="2018-12-01T00:00:00"/>
    <x v="3"/>
  </r>
  <r>
    <x v="1"/>
    <d v="1983-01-28T00:00:00"/>
    <d v="2006-12-01T00:00:00"/>
    <x v="1"/>
  </r>
  <r>
    <x v="0"/>
    <d v="1981-04-20T00:00:00"/>
    <d v="2016-05-01T00:00:00"/>
    <x v="1"/>
  </r>
  <r>
    <x v="1"/>
    <d v="1980-11-22T00:00:00"/>
    <d v="2019-08-01T00:00:00"/>
    <x v="1"/>
  </r>
  <r>
    <x v="0"/>
    <d v="1978-07-16T00:00:00"/>
    <d v="2002-11-01T00:00:00"/>
    <x v="0"/>
  </r>
  <r>
    <x v="0"/>
    <d v="1978-03-18T00:00:00"/>
    <d v="2012-06-01T00:00:00"/>
    <x v="0"/>
  </r>
  <r>
    <x v="1"/>
    <d v="1977-11-30T00:00:00"/>
    <d v="2001-01-01T00:00:00"/>
    <x v="0"/>
  </r>
  <r>
    <x v="1"/>
    <d v="1971-12-20T00:00:00"/>
    <d v="1996-05-01T00:00:00"/>
    <x v="0"/>
  </r>
  <r>
    <x v="0"/>
    <d v="1969-11-29T00:00:00"/>
    <d v="1998-09-01T00:00:00"/>
    <x v="0"/>
  </r>
  <r>
    <x v="0"/>
    <d v="1967-05-20T00:00:00"/>
    <d v="1994-12-01T00:00:00"/>
    <x v="0"/>
  </r>
  <r>
    <x v="1"/>
    <d v="1965-09-01T00:00:00"/>
    <d v="1983-02-01T00:00:00"/>
    <x v="2"/>
  </r>
  <r>
    <x v="1"/>
    <d v="1965-04-02T00:00:00"/>
    <d v="1989-07-01T00:00:00"/>
    <x v="3"/>
  </r>
  <r>
    <x v="1"/>
    <d v="1993-06-17T00:00:00"/>
    <d v="2014-12-01T00:00:00"/>
    <x v="1"/>
  </r>
  <r>
    <x v="0"/>
    <d v="1979-02-24T00:00:00"/>
    <d v="2010-07-01T00:00:00"/>
    <x v="1"/>
  </r>
  <r>
    <x v="0"/>
    <d v="1986-11-10T00:00:00"/>
    <d v="2005-11-01T00:00:00"/>
    <x v="0"/>
  </r>
  <r>
    <x v="0"/>
    <d v="1985-12-02T00:00:00"/>
    <d v="2013-11-01T00:00:00"/>
    <x v="0"/>
  </r>
  <r>
    <x v="0"/>
    <d v="1996-07-29T00:00:00"/>
    <d v="2019-08-01T00:00:00"/>
    <x v="1"/>
  </r>
  <r>
    <x v="1"/>
    <d v="1992-03-16T00:00:00"/>
    <d v="2017-06-01T00:00:00"/>
    <x v="1"/>
  </r>
  <r>
    <x v="1"/>
    <d v="1973-11-06T00:00:00"/>
    <d v="2002-01-01T00:00:00"/>
    <x v="3"/>
  </r>
  <r>
    <x v="1"/>
    <d v="1994-10-04T00:00:00"/>
    <d v="2013-03-01T00:00:00"/>
    <x v="1"/>
  </r>
  <r>
    <x v="0"/>
    <d v="1978-02-08T00:00:00"/>
    <d v="2003-02-01T00:00:00"/>
    <x v="1"/>
  </r>
  <r>
    <x v="0"/>
    <d v="1969-08-13T00:00:00"/>
    <d v="1989-08-01T00:00:00"/>
    <x v="1"/>
  </r>
  <r>
    <x v="1"/>
    <d v="1981-05-22T00:00:00"/>
    <d v="2004-05-01T00:00:0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s v="Individu_01"/>
    <x v="0"/>
    <x v="0"/>
    <x v="0"/>
    <x v="0"/>
    <x v="0"/>
    <x v="0"/>
    <x v="0"/>
  </r>
  <r>
    <s v="Individu_02"/>
    <x v="1"/>
    <x v="1"/>
    <x v="1"/>
    <x v="1"/>
    <x v="1"/>
    <x v="1"/>
    <x v="1"/>
  </r>
  <r>
    <s v="Individu_03"/>
    <x v="1"/>
    <x v="2"/>
    <x v="2"/>
    <x v="1"/>
    <x v="2"/>
    <x v="2"/>
    <x v="0"/>
  </r>
  <r>
    <s v="Individu_05"/>
    <x v="0"/>
    <x v="3"/>
    <x v="3"/>
    <x v="1"/>
    <x v="3"/>
    <x v="0"/>
    <x v="0"/>
  </r>
  <r>
    <s v="Individu_06"/>
    <x v="0"/>
    <x v="4"/>
    <x v="4"/>
    <x v="2"/>
    <x v="4"/>
    <x v="3"/>
    <x v="0"/>
  </r>
  <r>
    <s v="Individu_07"/>
    <x v="0"/>
    <x v="5"/>
    <x v="5"/>
    <x v="1"/>
    <x v="5"/>
    <x v="4"/>
    <x v="2"/>
  </r>
  <r>
    <s v="Individu_09"/>
    <x v="1"/>
    <x v="6"/>
    <x v="6"/>
    <x v="1"/>
    <x v="6"/>
    <x v="0"/>
    <x v="0"/>
  </r>
  <r>
    <s v="Individu_10"/>
    <x v="1"/>
    <x v="7"/>
    <x v="7"/>
    <x v="0"/>
    <x v="7"/>
    <x v="5"/>
    <x v="0"/>
  </r>
  <r>
    <s v="Individu_11"/>
    <x v="1"/>
    <x v="8"/>
    <x v="8"/>
    <x v="0"/>
    <x v="8"/>
    <x v="0"/>
    <x v="0"/>
  </r>
  <r>
    <s v="Individu_12"/>
    <x v="1"/>
    <x v="9"/>
    <x v="9"/>
    <x v="1"/>
    <x v="9"/>
    <x v="0"/>
    <x v="1"/>
  </r>
  <r>
    <s v="Individu_13"/>
    <x v="0"/>
    <x v="10"/>
    <x v="10"/>
    <x v="1"/>
    <x v="10"/>
    <x v="0"/>
    <x v="0"/>
  </r>
  <r>
    <s v="Individu_15"/>
    <x v="0"/>
    <x v="11"/>
    <x v="11"/>
    <x v="2"/>
    <x v="11"/>
    <x v="6"/>
    <x v="0"/>
  </r>
  <r>
    <s v="Individu_16"/>
    <x v="0"/>
    <x v="12"/>
    <x v="12"/>
    <x v="3"/>
    <x v="12"/>
    <x v="7"/>
    <x v="0"/>
  </r>
  <r>
    <s v="Individu_18"/>
    <x v="1"/>
    <x v="13"/>
    <x v="13"/>
    <x v="0"/>
    <x v="13"/>
    <x v="8"/>
    <x v="0"/>
  </r>
  <r>
    <s v="Individu_19"/>
    <x v="1"/>
    <x v="14"/>
    <x v="14"/>
    <x v="0"/>
    <x v="14"/>
    <x v="0"/>
    <x v="0"/>
  </r>
  <r>
    <s v="Individu_20"/>
    <x v="0"/>
    <x v="15"/>
    <x v="15"/>
    <x v="0"/>
    <x v="15"/>
    <x v="9"/>
    <x v="0"/>
  </r>
  <r>
    <s v="Individu_21"/>
    <x v="0"/>
    <x v="16"/>
    <x v="16"/>
    <x v="0"/>
    <x v="16"/>
    <x v="10"/>
    <x v="3"/>
  </r>
  <r>
    <s v="Individu_22"/>
    <x v="1"/>
    <x v="17"/>
    <x v="17"/>
    <x v="0"/>
    <x v="17"/>
    <x v="3"/>
    <x v="0"/>
  </r>
  <r>
    <s v="Individu_23"/>
    <x v="1"/>
    <x v="18"/>
    <x v="18"/>
    <x v="0"/>
    <x v="18"/>
    <x v="11"/>
    <x v="0"/>
  </r>
  <r>
    <s v="Individu_24"/>
    <x v="0"/>
    <x v="19"/>
    <x v="6"/>
    <x v="1"/>
    <x v="19"/>
    <x v="0"/>
    <x v="0"/>
  </r>
  <r>
    <s v="Individu_25"/>
    <x v="1"/>
    <x v="20"/>
    <x v="19"/>
    <x v="1"/>
    <x v="20"/>
    <x v="0"/>
    <x v="2"/>
  </r>
  <r>
    <s v="Individu_27"/>
    <x v="0"/>
    <x v="21"/>
    <x v="20"/>
    <x v="1"/>
    <x v="21"/>
    <x v="4"/>
    <x v="0"/>
  </r>
  <r>
    <s v="Individu_28"/>
    <x v="0"/>
    <x v="22"/>
    <x v="21"/>
    <x v="2"/>
    <x v="22"/>
    <x v="12"/>
    <x v="0"/>
  </r>
  <r>
    <s v="Individu_29"/>
    <x v="1"/>
    <x v="23"/>
    <x v="22"/>
    <x v="2"/>
    <x v="23"/>
    <x v="0"/>
    <x v="0"/>
  </r>
  <r>
    <s v="Individu_31"/>
    <x v="0"/>
    <x v="24"/>
    <x v="23"/>
    <x v="3"/>
    <x v="24"/>
    <x v="0"/>
    <x v="0"/>
  </r>
  <r>
    <s v="Individu_32"/>
    <x v="0"/>
    <x v="25"/>
    <x v="24"/>
    <x v="2"/>
    <x v="25"/>
    <x v="4"/>
    <x v="0"/>
  </r>
  <r>
    <s v="Individu_33"/>
    <x v="0"/>
    <x v="26"/>
    <x v="25"/>
    <x v="0"/>
    <x v="26"/>
    <x v="13"/>
    <x v="0"/>
  </r>
  <r>
    <s v="Individu_34"/>
    <x v="0"/>
    <x v="27"/>
    <x v="26"/>
    <x v="0"/>
    <x v="27"/>
    <x v="8"/>
    <x v="0"/>
  </r>
  <r>
    <s v="Individu_36"/>
    <x v="0"/>
    <x v="28"/>
    <x v="27"/>
    <x v="0"/>
    <x v="28"/>
    <x v="0"/>
    <x v="0"/>
  </r>
  <r>
    <s v="Individu_37"/>
    <x v="1"/>
    <x v="29"/>
    <x v="28"/>
    <x v="0"/>
    <x v="26"/>
    <x v="0"/>
    <x v="0"/>
  </r>
  <r>
    <s v="Individu_38"/>
    <x v="0"/>
    <x v="30"/>
    <x v="28"/>
    <x v="0"/>
    <x v="29"/>
    <x v="3"/>
    <x v="0"/>
  </r>
  <r>
    <s v="Individu_40"/>
    <x v="1"/>
    <x v="31"/>
    <x v="29"/>
    <x v="0"/>
    <x v="8"/>
    <x v="0"/>
    <x v="0"/>
  </r>
  <r>
    <s v="Individu_41"/>
    <x v="0"/>
    <x v="32"/>
    <x v="3"/>
    <x v="2"/>
    <x v="30"/>
    <x v="3"/>
    <x v="0"/>
  </r>
  <r>
    <s v="Individu_43"/>
    <x v="1"/>
    <x v="33"/>
    <x v="16"/>
    <x v="3"/>
    <x v="31"/>
    <x v="0"/>
    <x v="0"/>
  </r>
  <r>
    <s v="Individu_44"/>
    <x v="0"/>
    <x v="34"/>
    <x v="19"/>
    <x v="0"/>
    <x v="32"/>
    <x v="0"/>
    <x v="3"/>
  </r>
  <r>
    <s v="Individu_45"/>
    <x v="0"/>
    <x v="35"/>
    <x v="21"/>
    <x v="0"/>
    <x v="33"/>
    <x v="0"/>
    <x v="0"/>
  </r>
  <r>
    <s v="Individu_48"/>
    <x v="0"/>
    <x v="36"/>
    <x v="30"/>
    <x v="0"/>
    <x v="34"/>
    <x v="14"/>
    <x v="0"/>
  </r>
  <r>
    <s v="Individu_49"/>
    <x v="0"/>
    <x v="37"/>
    <x v="24"/>
    <x v="2"/>
    <x v="35"/>
    <x v="0"/>
    <x v="0"/>
  </r>
  <r>
    <s v="Individu_50"/>
    <x v="1"/>
    <x v="38"/>
    <x v="28"/>
    <x v="1"/>
    <x v="36"/>
    <x v="4"/>
    <x v="0"/>
  </r>
  <r>
    <s v="Individu_51"/>
    <x v="0"/>
    <x v="39"/>
    <x v="22"/>
    <x v="0"/>
    <x v="37"/>
    <x v="0"/>
    <x v="0"/>
  </r>
  <r>
    <s v="Individu_53"/>
    <x v="1"/>
    <x v="40"/>
    <x v="15"/>
    <x v="1"/>
    <x v="38"/>
    <x v="4"/>
    <x v="0"/>
  </r>
  <r>
    <s v="Individu_54"/>
    <x v="0"/>
    <x v="41"/>
    <x v="5"/>
    <x v="0"/>
    <x v="39"/>
    <x v="4"/>
    <x v="0"/>
  </r>
  <r>
    <s v="Individu_55"/>
    <x v="1"/>
    <x v="42"/>
    <x v="17"/>
    <x v="1"/>
    <x v="40"/>
    <x v="0"/>
    <x v="0"/>
  </r>
  <r>
    <s v="Individu_56"/>
    <x v="1"/>
    <x v="43"/>
    <x v="31"/>
    <x v="0"/>
    <x v="41"/>
    <x v="15"/>
    <x v="0"/>
  </r>
  <r>
    <s v="Individu_57"/>
    <x v="1"/>
    <x v="44"/>
    <x v="28"/>
    <x v="1"/>
    <x v="42"/>
    <x v="0"/>
    <x v="0"/>
  </r>
  <r>
    <s v="Individu_61"/>
    <x v="0"/>
    <x v="45"/>
    <x v="10"/>
    <x v="2"/>
    <x v="43"/>
    <x v="0"/>
    <x v="0"/>
  </r>
  <r>
    <s v="Individu_62"/>
    <x v="1"/>
    <x v="46"/>
    <x v="29"/>
    <x v="2"/>
    <x v="44"/>
    <x v="4"/>
    <x v="0"/>
  </r>
  <r>
    <s v="Individu_63"/>
    <x v="0"/>
    <x v="47"/>
    <x v="20"/>
    <x v="1"/>
    <x v="45"/>
    <x v="0"/>
    <x v="3"/>
  </r>
  <r>
    <s v="Individu_64"/>
    <x v="0"/>
    <x v="48"/>
    <x v="4"/>
    <x v="2"/>
    <x v="46"/>
    <x v="16"/>
    <x v="0"/>
  </r>
  <r>
    <s v="Individu_65"/>
    <x v="1"/>
    <x v="49"/>
    <x v="32"/>
    <x v="0"/>
    <x v="47"/>
    <x v="6"/>
    <x v="0"/>
  </r>
  <r>
    <s v="Individu_66"/>
    <x v="1"/>
    <x v="50"/>
    <x v="11"/>
    <x v="2"/>
    <x v="48"/>
    <x v="0"/>
    <x v="0"/>
  </r>
  <r>
    <s v="Individu_67"/>
    <x v="0"/>
    <x v="51"/>
    <x v="33"/>
    <x v="1"/>
    <x v="49"/>
    <x v="14"/>
    <x v="2"/>
  </r>
  <r>
    <s v="Individu_68"/>
    <x v="1"/>
    <x v="52"/>
    <x v="9"/>
    <x v="0"/>
    <x v="50"/>
    <x v="0"/>
    <x v="0"/>
  </r>
  <r>
    <s v="Individu_69"/>
    <x v="0"/>
    <x v="53"/>
    <x v="13"/>
    <x v="0"/>
    <x v="51"/>
    <x v="6"/>
    <x v="3"/>
  </r>
  <r>
    <s v="Individu_70"/>
    <x v="0"/>
    <x v="54"/>
    <x v="34"/>
    <x v="2"/>
    <x v="52"/>
    <x v="0"/>
    <x v="0"/>
  </r>
  <r>
    <s v="Individu_71"/>
    <x v="0"/>
    <x v="55"/>
    <x v="35"/>
    <x v="0"/>
    <x v="53"/>
    <x v="4"/>
    <x v="0"/>
  </r>
  <r>
    <s v="Individu_72"/>
    <x v="1"/>
    <x v="56"/>
    <x v="7"/>
    <x v="2"/>
    <x v="54"/>
    <x v="0"/>
    <x v="0"/>
  </r>
  <r>
    <s v="Individu_73"/>
    <x v="0"/>
    <x v="57"/>
    <x v="23"/>
    <x v="3"/>
    <x v="55"/>
    <x v="0"/>
    <x v="0"/>
  </r>
  <r>
    <s v="Individu_74"/>
    <x v="1"/>
    <x v="58"/>
    <x v="12"/>
    <x v="0"/>
    <x v="56"/>
    <x v="0"/>
    <x v="0"/>
  </r>
  <r>
    <s v="Individu_75"/>
    <x v="1"/>
    <x v="59"/>
    <x v="18"/>
    <x v="1"/>
    <x v="57"/>
    <x v="0"/>
    <x v="0"/>
  </r>
  <r>
    <s v="Individu_76"/>
    <x v="1"/>
    <x v="60"/>
    <x v="36"/>
    <x v="1"/>
    <x v="58"/>
    <x v="7"/>
    <x v="4"/>
  </r>
  <r>
    <s v="Individu_78"/>
    <x v="0"/>
    <x v="61"/>
    <x v="34"/>
    <x v="1"/>
    <x v="59"/>
    <x v="0"/>
    <x v="0"/>
  </r>
  <r>
    <s v="Individu_79"/>
    <x v="0"/>
    <x v="62"/>
    <x v="25"/>
    <x v="0"/>
    <x v="60"/>
    <x v="0"/>
    <x v="0"/>
  </r>
  <r>
    <s v="Individu_80"/>
    <x v="1"/>
    <x v="63"/>
    <x v="27"/>
    <x v="0"/>
    <x v="61"/>
    <x v="4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s v="Individu_01"/>
    <x v="0"/>
    <d v="1981-05-22T00:00:00"/>
    <d v="2004-05-01T00:00:00"/>
    <n v="1"/>
    <n v="28175"/>
    <n v="0"/>
    <n v="1"/>
    <x v="0"/>
    <x v="0"/>
  </r>
  <r>
    <s v="Individu_02"/>
    <x v="1"/>
    <d v="1969-08-13T00:00:00"/>
    <d v="1989-08-01T00:00:00"/>
    <n v="2"/>
    <n v="21906"/>
    <n v="24"/>
    <n v="0.5"/>
    <x v="0"/>
    <x v="0"/>
  </r>
  <r>
    <s v="Individu_03"/>
    <x v="1"/>
    <d v="1978-02-08T00:00:00"/>
    <d v="2003-02-01T00:00:00"/>
    <n v="2"/>
    <n v="35152"/>
    <n v="11"/>
    <n v="1"/>
    <x v="0"/>
    <x v="0"/>
  </r>
  <r>
    <s v="Individu_05"/>
    <x v="0"/>
    <d v="1994-10-04T00:00:00"/>
    <d v="2013-03-01T00:00:00"/>
    <n v="2"/>
    <n v="28269"/>
    <n v="0"/>
    <n v="1"/>
    <x v="0"/>
    <x v="0"/>
  </r>
  <r>
    <s v="Individu_06"/>
    <x v="0"/>
    <d v="1973-11-06T00:00:00"/>
    <d v="2002-01-01T00:00:00"/>
    <n v="3"/>
    <n v="49929"/>
    <n v="2"/>
    <n v="1"/>
    <x v="0"/>
    <x v="0"/>
  </r>
  <r>
    <s v="Individu_07"/>
    <x v="0"/>
    <d v="1992-03-16T00:00:00"/>
    <d v="2017-06-01T00:00:00"/>
    <n v="2"/>
    <n v="20234"/>
    <n v="1"/>
    <n v="0.6"/>
    <x v="0"/>
    <x v="0"/>
  </r>
  <r>
    <s v="Individu_09"/>
    <x v="1"/>
    <d v="1996-07-29T00:00:00"/>
    <d v="2019-08-01T00:00:00"/>
    <n v="2"/>
    <n v="31481"/>
    <n v="0"/>
    <n v="1"/>
    <x v="0"/>
    <x v="0"/>
  </r>
  <r>
    <s v="Individu_10"/>
    <x v="1"/>
    <d v="1985-12-02T00:00:00"/>
    <d v="2013-11-01T00:00:00"/>
    <n v="1"/>
    <n v="26961"/>
    <n v="45"/>
    <n v="1"/>
    <x v="0"/>
    <x v="0"/>
  </r>
  <r>
    <s v="Individu_11"/>
    <x v="1"/>
    <d v="1986-11-10T00:00:00"/>
    <d v="2005-11-01T00:00:00"/>
    <n v="1"/>
    <n v="26059"/>
    <n v="0"/>
    <n v="1"/>
    <x v="0"/>
    <x v="0"/>
  </r>
  <r>
    <s v="Individu_12"/>
    <x v="1"/>
    <d v="1979-02-24T00:00:00"/>
    <d v="2010-07-01T00:00:00"/>
    <n v="2"/>
    <n v="16844"/>
    <n v="0"/>
    <n v="0.5"/>
    <x v="0"/>
    <x v="0"/>
  </r>
  <r>
    <s v="Individu_13"/>
    <x v="0"/>
    <d v="1993-06-17T00:00:00"/>
    <d v="2014-12-01T00:00:00"/>
    <n v="2"/>
    <n v="28882"/>
    <n v="0"/>
    <n v="1"/>
    <x v="0"/>
    <x v="0"/>
  </r>
  <r>
    <s v="Individu_15"/>
    <x v="0"/>
    <d v="1965-04-02T00:00:00"/>
    <d v="1989-07-01T00:00:00"/>
    <n v="3"/>
    <n v="55313"/>
    <n v="3"/>
    <n v="1"/>
    <x v="0"/>
    <x v="0"/>
  </r>
  <r>
    <s v="Individu_16"/>
    <x v="0"/>
    <d v="1965-09-01T00:00:00"/>
    <d v="1983-02-01T00:00:00"/>
    <n v="4"/>
    <n v="99367"/>
    <n v="4"/>
    <n v="1"/>
    <x v="0"/>
    <x v="0"/>
  </r>
  <r>
    <s v="Individu_18"/>
    <x v="1"/>
    <d v="1967-05-20T00:00:00"/>
    <d v="1994-12-01T00:00:00"/>
    <n v="1"/>
    <n v="27374"/>
    <n v="10"/>
    <n v="1"/>
    <x v="0"/>
    <x v="0"/>
  </r>
  <r>
    <s v="Individu_19"/>
    <x v="1"/>
    <d v="1969-11-29T00:00:00"/>
    <d v="1998-09-01T00:00:00"/>
    <n v="1"/>
    <n v="27482"/>
    <n v="0"/>
    <n v="1"/>
    <x v="0"/>
    <x v="0"/>
  </r>
  <r>
    <s v="Individu_20"/>
    <x v="0"/>
    <d v="1971-12-20T00:00:00"/>
    <d v="1996-05-01T00:00:00"/>
    <n v="1"/>
    <n v="27579"/>
    <n v="20"/>
    <n v="1"/>
    <x v="0"/>
    <x v="0"/>
  </r>
  <r>
    <s v="Individu_21"/>
    <x v="0"/>
    <d v="1977-11-30T00:00:00"/>
    <d v="2001-01-01T00:00:00"/>
    <n v="1"/>
    <n v="24385"/>
    <n v="90"/>
    <n v="0.8"/>
    <x v="0"/>
    <x v="0"/>
  </r>
  <r>
    <s v="Individu_22"/>
    <x v="1"/>
    <d v="1978-03-18T00:00:00"/>
    <d v="2012-06-01T00:00:00"/>
    <n v="1"/>
    <n v="28418"/>
    <n v="2"/>
    <n v="1"/>
    <x v="0"/>
    <x v="0"/>
  </r>
  <r>
    <s v="Individu_23"/>
    <x v="1"/>
    <d v="1978-07-16T00:00:00"/>
    <d v="2002-11-01T00:00:00"/>
    <n v="1"/>
    <n v="28264"/>
    <n v="16"/>
    <n v="1"/>
    <x v="0"/>
    <x v="0"/>
  </r>
  <r>
    <s v="Individu_24"/>
    <x v="0"/>
    <d v="1980-11-22T00:00:00"/>
    <d v="2019-08-01T00:00:00"/>
    <n v="2"/>
    <n v="30969"/>
    <n v="0"/>
    <n v="1"/>
    <x v="0"/>
    <x v="0"/>
  </r>
  <r>
    <s v="Individu_25"/>
    <x v="1"/>
    <d v="1981-04-20T00:00:00"/>
    <d v="2016-05-01T00:00:00"/>
    <n v="2"/>
    <n v="20523"/>
    <n v="0"/>
    <n v="0.6"/>
    <x v="0"/>
    <x v="0"/>
  </r>
  <r>
    <s v="Individu_27"/>
    <x v="0"/>
    <d v="1983-01-28T00:00:00"/>
    <d v="2006-12-01T00:00:00"/>
    <n v="2"/>
    <n v="30759"/>
    <n v="1"/>
    <n v="1"/>
    <x v="0"/>
    <x v="0"/>
  </r>
  <r>
    <s v="Individu_28"/>
    <x v="0"/>
    <d v="1983-03-12T00:00:00"/>
    <d v="2018-12-01T00:00:00"/>
    <n v="3"/>
    <n v="54566"/>
    <n v="9"/>
    <n v="1"/>
    <x v="0"/>
    <x v="0"/>
  </r>
  <r>
    <s v="Individu_29"/>
    <x v="1"/>
    <d v="1984-08-23T00:00:00"/>
    <d v="2008-08-01T00:00:00"/>
    <n v="3"/>
    <n v="46356"/>
    <n v="0"/>
    <n v="1"/>
    <x v="0"/>
    <x v="0"/>
  </r>
  <r>
    <s v="Individu_31"/>
    <x v="0"/>
    <d v="1987-12-06T00:00:00"/>
    <d v="2014-03-01T00:00:00"/>
    <n v="4"/>
    <n v="127272"/>
    <n v="0"/>
    <n v="1"/>
    <x v="0"/>
    <x v="0"/>
  </r>
  <r>
    <s v="Individu_32"/>
    <x v="0"/>
    <d v="1989-11-03T00:00:00"/>
    <d v="2014-09-01T00:00:00"/>
    <n v="3"/>
    <n v="52174"/>
    <n v="1"/>
    <n v="1"/>
    <x v="0"/>
    <x v="0"/>
  </r>
  <r>
    <s v="Individu_33"/>
    <x v="0"/>
    <d v="1990-10-12T00:00:00"/>
    <d v="2012-04-01T00:00:00"/>
    <n v="1"/>
    <n v="27082"/>
    <n v="5"/>
    <n v="1"/>
    <x v="0"/>
    <x v="0"/>
  </r>
  <r>
    <s v="Individu_34"/>
    <x v="0"/>
    <d v="1991-08-04T00:00:00"/>
    <d v="2018-01-01T00:00:00"/>
    <n v="1"/>
    <n v="25951"/>
    <n v="10"/>
    <n v="1"/>
    <x v="0"/>
    <x v="0"/>
  </r>
  <r>
    <s v="Individu_36"/>
    <x v="0"/>
    <d v="1992-09-08T00:00:00"/>
    <d v="2016-08-01T00:00:00"/>
    <n v="1"/>
    <n v="28732"/>
    <n v="0"/>
    <n v="1"/>
    <x v="0"/>
    <x v="0"/>
  </r>
  <r>
    <s v="Individu_37"/>
    <x v="1"/>
    <d v="1994-06-17T00:00:00"/>
    <d v="2015-06-01T00:00:00"/>
    <n v="1"/>
    <n v="27082"/>
    <n v="0"/>
    <n v="1"/>
    <x v="0"/>
    <x v="0"/>
  </r>
  <r>
    <s v="Individu_38"/>
    <x v="0"/>
    <d v="1994-12-30T00:00:00"/>
    <d v="2015-06-01T00:00:00"/>
    <n v="1"/>
    <n v="26252"/>
    <n v="2"/>
    <n v="1"/>
    <x v="0"/>
    <x v="0"/>
  </r>
  <r>
    <s v="Individu_40"/>
    <x v="1"/>
    <d v="1998-09-27T00:00:00"/>
    <d v="2018-07-01T00:00:00"/>
    <n v="1"/>
    <n v="26059"/>
    <n v="0"/>
    <n v="1"/>
    <x v="0"/>
    <x v="0"/>
  </r>
  <r>
    <s v="Individu_41"/>
    <x v="0"/>
    <d v="1994-10-26T00:00:00"/>
    <d v="2013-03-01T00:00:00"/>
    <n v="3"/>
    <n v="50237"/>
    <n v="2"/>
    <n v="1"/>
    <x v="0"/>
    <x v="0"/>
  </r>
  <r>
    <s v="Individu_43"/>
    <x v="1"/>
    <d v="1978-03-19T00:00:00"/>
    <d v="2001-01-01T00:00:00"/>
    <n v="4"/>
    <n v="103749"/>
    <n v="0"/>
    <n v="1"/>
    <x v="0"/>
    <x v="0"/>
  </r>
  <r>
    <s v="Individu_44"/>
    <x v="0"/>
    <d v="1981-04-28T00:00:00"/>
    <d v="2016-05-01T00:00:00"/>
    <n v="1"/>
    <n v="23826"/>
    <n v="0"/>
    <n v="0.8"/>
    <x v="0"/>
    <x v="0"/>
  </r>
  <r>
    <s v="Individu_45"/>
    <x v="0"/>
    <d v="1983-09-04T00:00:00"/>
    <d v="2018-12-01T00:00:00"/>
    <n v="1"/>
    <n v="27903"/>
    <n v="0"/>
    <n v="1"/>
    <x v="0"/>
    <x v="0"/>
  </r>
  <r>
    <s v="Individu_48"/>
    <x v="0"/>
    <d v="1999-01-13T00:00:00"/>
    <d v="2019-06-01T00:00:00"/>
    <n v="1"/>
    <n v="27854"/>
    <n v="26"/>
    <n v="1"/>
    <x v="0"/>
    <x v="0"/>
  </r>
  <r>
    <s v="Individu_49"/>
    <x v="0"/>
    <d v="1990-04-17T00:00:00"/>
    <d v="2014-09-01T00:00:00"/>
    <n v="3"/>
    <n v="54312"/>
    <n v="0"/>
    <n v="1"/>
    <x v="0"/>
    <x v="0"/>
  </r>
  <r>
    <s v="Individu_50"/>
    <x v="1"/>
    <d v="1994-08-14T00:00:00"/>
    <d v="2015-06-01T00:00:00"/>
    <n v="2"/>
    <n v="44203"/>
    <n v="1"/>
    <n v="1"/>
    <x v="0"/>
    <x v="0"/>
  </r>
  <r>
    <s v="Individu_51"/>
    <x v="0"/>
    <d v="1984-10-26T00:00:00"/>
    <d v="2008-08-01T00:00:00"/>
    <n v="1"/>
    <n v="27680"/>
    <n v="0"/>
    <n v="1"/>
    <x v="0"/>
    <x v="0"/>
  </r>
  <r>
    <s v="Individu_53"/>
    <x v="1"/>
    <d v="1972-04-11T00:00:00"/>
    <d v="1996-05-01T00:00:00"/>
    <n v="2"/>
    <n v="29245"/>
    <n v="1"/>
    <n v="1"/>
    <x v="0"/>
    <x v="0"/>
  </r>
  <r>
    <s v="Individu_54"/>
    <x v="0"/>
    <d v="1992-06-21T00:00:00"/>
    <d v="2017-06-01T00:00:00"/>
    <n v="1"/>
    <n v="29109"/>
    <n v="1"/>
    <n v="1"/>
    <x v="0"/>
    <x v="0"/>
  </r>
  <r>
    <s v="Individu_55"/>
    <x v="1"/>
    <d v="1978-07-12T00:00:00"/>
    <d v="2012-06-01T00:00:00"/>
    <n v="2"/>
    <n v="33352"/>
    <n v="0"/>
    <n v="1"/>
    <x v="0"/>
    <x v="0"/>
  </r>
  <r>
    <s v="Individu_56"/>
    <x v="1"/>
    <d v="1960-12-17T00:00:00"/>
    <d v="1979-03-01T00:00:00"/>
    <n v="1"/>
    <n v="29545"/>
    <n v="110"/>
    <n v="1"/>
    <x v="0"/>
    <x v="0"/>
  </r>
  <r>
    <s v="Individu_57"/>
    <x v="1"/>
    <d v="1995-04-18T00:00:00"/>
    <d v="2015-06-01T00:00:00"/>
    <n v="2"/>
    <n v="33734"/>
    <n v="0"/>
    <n v="1"/>
    <x v="0"/>
    <x v="0"/>
  </r>
  <r>
    <s v="Individu_61"/>
    <x v="0"/>
    <d v="1993-07-15T00:00:00"/>
    <d v="2014-12-01T00:00:00"/>
    <n v="3"/>
    <n v="53110"/>
    <n v="0"/>
    <n v="1"/>
    <x v="0"/>
    <x v="0"/>
  </r>
  <r>
    <s v="Individu_62"/>
    <x v="1"/>
    <d v="1998-07-14T00:00:00"/>
    <d v="2018-07-01T00:00:00"/>
    <n v="3"/>
    <n v="59173"/>
    <n v="1"/>
    <n v="1"/>
    <x v="0"/>
    <x v="0"/>
  </r>
  <r>
    <s v="Individu_63"/>
    <x v="0"/>
    <d v="1983-02-17T00:00:00"/>
    <d v="2006-12-01T00:00:00"/>
    <n v="2"/>
    <n v="27529"/>
    <n v="0"/>
    <n v="0.8"/>
    <x v="0"/>
    <x v="0"/>
  </r>
  <r>
    <s v="Individu_64"/>
    <x v="0"/>
    <d v="1973-11-22T00:00:00"/>
    <d v="2002-01-01T00:00:00"/>
    <n v="3"/>
    <n v="35644"/>
    <n v="12"/>
    <n v="1"/>
    <x v="0"/>
    <x v="0"/>
  </r>
  <r>
    <s v="Individu_65"/>
    <x v="1"/>
    <d v="1991-11-25T00:00:00"/>
    <d v="2019-01-01T00:00:00"/>
    <n v="1"/>
    <n v="28605"/>
    <n v="3"/>
    <n v="1"/>
    <x v="0"/>
    <x v="0"/>
  </r>
  <r>
    <s v="Individu_66"/>
    <x v="1"/>
    <d v="1965-07-31T00:00:00"/>
    <d v="1989-07-01T00:00:00"/>
    <n v="3"/>
    <n v="36555"/>
    <n v="0"/>
    <n v="1"/>
    <x v="0"/>
    <x v="0"/>
  </r>
  <r>
    <s v="Individu_67"/>
    <x v="0"/>
    <d v="1981-09-01T00:00:00"/>
    <d v="2018-08-01T00:00:00"/>
    <n v="2"/>
    <n v="19864"/>
    <n v="26"/>
    <n v="0.6"/>
    <x v="0"/>
    <x v="0"/>
  </r>
  <r>
    <s v="Individu_68"/>
    <x v="1"/>
    <d v="1979-07-26T00:00:00"/>
    <d v="2010-07-01T00:00:00"/>
    <n v="1"/>
    <n v="27914"/>
    <n v="0"/>
    <n v="1"/>
    <x v="0"/>
    <x v="0"/>
  </r>
  <r>
    <s v="Individu_69"/>
    <x v="0"/>
    <d v="1967-06-14T00:00:00"/>
    <d v="1994-12-01T00:00:00"/>
    <n v="1"/>
    <n v="29146"/>
    <n v="3"/>
    <n v="0.8"/>
    <x v="0"/>
    <x v="0"/>
  </r>
  <r>
    <s v="Individu_70"/>
    <x v="0"/>
    <d v="1996-08-23T00:00:00"/>
    <d v="2021-09-01T00:00:00"/>
    <n v="3"/>
    <n v="55420"/>
    <n v="0"/>
    <n v="1"/>
    <x v="0"/>
    <x v="0"/>
  </r>
  <r>
    <s v="Individu_71"/>
    <x v="0"/>
    <d v="1966-01-11T00:00:00"/>
    <d v="1990-11-01T00:00:00"/>
    <n v="1"/>
    <n v="33306"/>
    <n v="1"/>
    <n v="1"/>
    <x v="0"/>
    <x v="0"/>
  </r>
  <r>
    <s v="Individu_72"/>
    <x v="1"/>
    <d v="1986-05-26T00:00:00"/>
    <d v="2013-11-01T00:00:00"/>
    <n v="3"/>
    <n v="52441"/>
    <n v="0"/>
    <n v="1"/>
    <x v="0"/>
    <x v="0"/>
  </r>
  <r>
    <s v="Individu_73"/>
    <x v="0"/>
    <d v="1988-01-19T00:00:00"/>
    <d v="2014-03-01T00:00:00"/>
    <n v="4"/>
    <n v="153446"/>
    <n v="0"/>
    <n v="1"/>
    <x v="0"/>
    <x v="0"/>
  </r>
  <r>
    <s v="Individu_74"/>
    <x v="1"/>
    <d v="1965-12-04T00:00:00"/>
    <d v="1983-02-01T00:00:00"/>
    <n v="1"/>
    <n v="32704"/>
    <n v="0"/>
    <n v="1"/>
    <x v="0"/>
    <x v="0"/>
  </r>
  <r>
    <s v="Individu_75"/>
    <x v="1"/>
    <d v="1978-12-10T00:00:00"/>
    <d v="2002-11-01T00:00:00"/>
    <n v="2"/>
    <n v="28774"/>
    <n v="0"/>
    <n v="1"/>
    <x v="0"/>
    <x v="0"/>
  </r>
  <r>
    <s v="Individu_76"/>
    <x v="1"/>
    <d v="1986-01-11T00:00:00"/>
    <d v="2005-10-01T00:00:00"/>
    <n v="2"/>
    <n v="23432"/>
    <n v="4"/>
    <n v="0.7"/>
    <x v="0"/>
    <x v="0"/>
  </r>
  <r>
    <s v="Individu_78"/>
    <x v="0"/>
    <d v="1981-01-05T00:00:00"/>
    <d v="2021-09-01T00:00:00"/>
    <n v="2"/>
    <n v="36340"/>
    <n v="0"/>
    <n v="1"/>
    <x v="0"/>
    <x v="0"/>
  </r>
  <r>
    <s v="Individu_79"/>
    <x v="0"/>
    <d v="1990-12-11T00:00:00"/>
    <d v="2012-04-01T00:00:00"/>
    <n v="1"/>
    <n v="28309"/>
    <n v="0"/>
    <n v="1"/>
    <x v="0"/>
    <x v="0"/>
  </r>
  <r>
    <s v="Individu_80"/>
    <x v="1"/>
    <d v="1992-09-25T00:00:00"/>
    <d v="2016-08-01T00:00:00"/>
    <n v="1"/>
    <n v="29519"/>
    <n v="1"/>
    <n v="1"/>
    <x v="0"/>
    <x v="0"/>
  </r>
  <r>
    <s v="Individu_04"/>
    <x v="1"/>
    <d v="1989-04-13T00:00:00"/>
    <d v="2021-08-01T00:00:00"/>
    <n v="1"/>
    <n v="9580"/>
    <n v="0"/>
    <n v="1"/>
    <x v="1"/>
    <x v="1"/>
  </r>
  <r>
    <s v="Individu_77"/>
    <x v="0"/>
    <d v="1989-08-07T00:00:00"/>
    <d v="2019-07-01T00:00:00"/>
    <n v="1"/>
    <n v="4375"/>
    <n v="0"/>
    <n v="1"/>
    <x v="2"/>
    <x v="2"/>
  </r>
  <r>
    <s v="Individu_30"/>
    <x v="1"/>
    <d v="1985-11-18T00:00:00"/>
    <d v="2005-10-01T00:00:00"/>
    <n v="1"/>
    <n v="17995"/>
    <n v="0"/>
    <n v="1"/>
    <x v="2"/>
    <x v="2"/>
  </r>
  <r>
    <s v="Individu_14"/>
    <x v="0"/>
    <d v="1962-03-14T00:00:00"/>
    <d v="1984-07-01T00:00:00"/>
    <n v="3"/>
    <n v="35087"/>
    <n v="1"/>
    <n v="1"/>
    <x v="2"/>
    <x v="3"/>
  </r>
  <r>
    <s v="Individu_60"/>
    <x v="0"/>
    <d v="1992-02-18T00:00:00"/>
    <d v="2021-05-01T00:00:00"/>
    <n v="1"/>
    <n v="14024"/>
    <n v="0"/>
    <n v="1"/>
    <x v="3"/>
    <x v="2"/>
  </r>
  <r>
    <s v="Individu_46"/>
    <x v="1"/>
    <d v="1970-03-01T00:00:00"/>
    <d v="1998-09-01T00:00:00"/>
    <n v="1"/>
    <n v="17113"/>
    <n v="12"/>
    <n v="0.6"/>
    <x v="3"/>
    <x v="1"/>
  </r>
  <r>
    <s v="Individu_39"/>
    <x v="1"/>
    <d v="1998-03-01T00:00:00"/>
    <d v="2018-07-01T00:00:00"/>
    <n v="1"/>
    <n v="9931"/>
    <n v="1"/>
    <n v="0.5"/>
    <x v="3"/>
    <x v="1"/>
  </r>
  <r>
    <s v="Individu_08"/>
    <x v="1"/>
    <d v="1960-08-18T00:00:00"/>
    <d v="1979-03-01T00:00:00"/>
    <n v="3"/>
    <n v="20739"/>
    <n v="0"/>
    <n v="0.7"/>
    <x v="3"/>
    <x v="3"/>
  </r>
  <r>
    <s v="Individu_47"/>
    <x v="0"/>
    <d v="1978-02-15T00:00:00"/>
    <d v="2003-02-01T00:00:00"/>
    <n v="1"/>
    <n v="17131"/>
    <n v="2"/>
    <n v="1"/>
    <x v="4"/>
    <x v="4"/>
  </r>
  <r>
    <s v="Individu_35"/>
    <x v="0"/>
    <d v="1991-10-08T00:00:00"/>
    <d v="2019-04-01T00:00:00"/>
    <n v="2"/>
    <n v="7714"/>
    <n v="0"/>
    <n v="1"/>
    <x v="4"/>
    <x v="1"/>
  </r>
  <r>
    <s v="Individu_58"/>
    <x v="1"/>
    <d v="1981-11-06T00:00:00"/>
    <d v="2004-05-01T00:00:00"/>
    <n v="1"/>
    <n v="12460"/>
    <n v="5"/>
    <n v="1"/>
    <x v="5"/>
    <x v="2"/>
  </r>
  <r>
    <s v="Individu_42"/>
    <x v="0"/>
    <d v="1962-06-22T00:00:00"/>
    <d v="1984-07-01T00:00:00"/>
    <n v="2"/>
    <n v="17563"/>
    <n v="12"/>
    <n v="1"/>
    <x v="5"/>
    <x v="1"/>
  </r>
  <r>
    <s v="Individu_17"/>
    <x v="1"/>
    <d v="1965-09-18T00:00:00"/>
    <d v="1990-11-01T00:00:00"/>
    <n v="2"/>
    <n v="20141"/>
    <n v="0"/>
    <n v="1"/>
    <x v="5"/>
    <x v="4"/>
  </r>
  <r>
    <s v="Individu_59"/>
    <x v="1"/>
    <d v="1969-08-23T00:00:00"/>
    <d v="1989-08-01T00:00:00"/>
    <n v="2"/>
    <n v="13110"/>
    <n v="90"/>
    <n v="0.5"/>
    <x v="6"/>
    <x v="1"/>
  </r>
  <r>
    <s v="Individu_52"/>
    <x v="1"/>
    <d v="1987-01-04T00:00:00"/>
    <d v="2005-11-01T00:00:00"/>
    <n v="1"/>
    <n v="11539"/>
    <n v="7"/>
    <n v="1"/>
    <x v="6"/>
    <x v="5"/>
  </r>
  <r>
    <s v="Individu_26"/>
    <x v="0"/>
    <d v="1981-07-12T00:00:00"/>
    <d v="2019-07-01T00:00:00"/>
    <n v="2"/>
    <n v="14360"/>
    <n v="0"/>
    <n v="1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0656C8-22FF-4559-B340-B76C81BEA036}" name="Tableau croisé dynamique15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Y28:AB34" firstHeaderRow="1" firstDataRow="2" firstDataCol="1"/>
  <pivotFields count="12">
    <pivotField showAll="0"/>
    <pivotField axis="axisCol" showAll="0">
      <items count="3">
        <item x="1"/>
        <item x="0"/>
        <item t="default"/>
      </items>
    </pivotField>
    <pivotField numFmtId="164" showAll="0"/>
    <pivotField dataField="1" numFmtId="164" showAll="0"/>
    <pivotField axis="axisRow" showAll="0">
      <items count="5">
        <item x="0"/>
        <item x="1"/>
        <item x="2"/>
        <item x="3"/>
        <item t="default"/>
      </items>
    </pivotField>
    <pivotField numFmtId="3" showAll="0"/>
    <pivotField showAll="0"/>
    <pivotField numFmtId="9" showAl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D_Arrivée" fld="3" subtotal="count" baseField="0" baseItem="0"/>
  </dataFields>
  <formats count="10"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Col" fieldPosition="0"/>
    </format>
    <format dxfId="101">
      <pivotArea type="topRight" dataOnly="0" labelOnly="1" outline="0" fieldPosition="0"/>
    </format>
    <format dxfId="100">
      <pivotArea field="4" type="button" dataOnly="0" labelOnly="1" outline="0" axis="axisRow" fieldPosition="0"/>
    </format>
    <format dxfId="99">
      <pivotArea dataOnly="0" labelOnly="1" fieldPosition="0">
        <references count="1">
          <reference field="4" count="0"/>
        </references>
      </pivotArea>
    </format>
    <format dxfId="98">
      <pivotArea dataOnly="0" labelOnly="1" grandRow="1" outline="0" fieldPosition="0"/>
    </format>
    <format dxfId="97">
      <pivotArea dataOnly="0" labelOnly="1" fieldPosition="0">
        <references count="1">
          <reference field="1" count="0"/>
        </references>
      </pivotArea>
    </format>
    <format dxfId="9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8F3412-1C90-4F5A-8FD4-1080DCB0AAEC}" name="Tableau croisé dynamique17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B6:E15" firstHeaderRow="1" firstDataRow="2" firstDataCol="1"/>
  <pivotFields count="10">
    <pivotField showAll="0"/>
    <pivotField axis="axisCol" showAll="0">
      <items count="3">
        <item x="1"/>
        <item x="0"/>
        <item t="default"/>
      </items>
    </pivotField>
    <pivotField dataField="1" numFmtId="164" showAll="0"/>
    <pivotField numFmtId="164" showAll="0"/>
    <pivotField showAll="0"/>
    <pivotField numFmtId="3" showAll="0"/>
    <pivotField showAll="0"/>
    <pivotField numFmtId="9" showAll="0"/>
    <pivotField axis="axisRow" showAll="0">
      <items count="8">
        <item x="0"/>
        <item x="6"/>
        <item x="5"/>
        <item x="4"/>
        <item x="3"/>
        <item x="2"/>
        <item x="1"/>
        <item t="default"/>
      </items>
    </pivotField>
    <pivotField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D_Nai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083BDE-EB24-4101-A459-3C40F6674E88}" name="Tableau croisé dynamique10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4">
  <location ref="G6:O14" firstHeaderRow="1" firstDataRow="2" firstDataCol="1"/>
  <pivotFields count="10">
    <pivotField showAll="0"/>
    <pivotField showAll="0">
      <items count="3">
        <item x="1"/>
        <item x="0"/>
        <item t="default"/>
      </items>
    </pivotField>
    <pivotField numFmtId="164" showAll="0"/>
    <pivotField dataField="1" numFmtId="164" showAll="0"/>
    <pivotField showAll="0"/>
    <pivotField numFmtId="3" showAll="0"/>
    <pivotField showAll="0"/>
    <pivotField numFmtId="9" showAll="0"/>
    <pivotField axis="axisCol" showAll="0">
      <items count="8">
        <item x="0"/>
        <item x="6"/>
        <item x="5"/>
        <item x="4"/>
        <item x="3"/>
        <item x="2"/>
        <item x="1"/>
        <item t="default"/>
      </items>
    </pivotField>
    <pivotField axis="axisRow" showAll="0">
      <items count="7">
        <item x="4"/>
        <item x="1"/>
        <item x="3"/>
        <item x="2"/>
        <item x="5"/>
        <item n="En poste" x="0"/>
        <item t="default"/>
      </items>
    </pivotField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ombre de D_Arrivée" fld="3" subtotal="count" baseField="0" baseItem="0"/>
  </dataFields>
  <formats count="1"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8805D2-630A-4849-B49A-A2FF9979FF55}" name="Tableau croisé dynamique11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B6:T10" firstHeaderRow="1" firstDataRow="2" firstDataCol="1"/>
  <pivotFields count="12">
    <pivotField showAll="0"/>
    <pivotField axis="axisRow" showAll="0">
      <items count="3">
        <item x="1"/>
        <item x="0"/>
        <item t="default"/>
      </items>
    </pivotField>
    <pivotField dataField="1" numFmtId="164" showAll="0"/>
    <pivotField numFmtId="164" showAll="0"/>
    <pivotField showAll="0"/>
    <pivotField numFmtId="3" showAll="0"/>
    <pivotField axis="axisCol" showAll="0">
      <items count="18">
        <item x="0"/>
        <item n="1j" x="4"/>
        <item n="2j" x="3"/>
        <item n="3j" x="6"/>
        <item n="4j" x="7"/>
        <item n="5j" x="13"/>
        <item n="9j" x="12"/>
        <item n="10j" x="8"/>
        <item n="11j" x="2"/>
        <item n="12j" x="16"/>
        <item n="16j" x="11"/>
        <item n="20j" x="9"/>
        <item n="24j" x="1"/>
        <item n="26j" x="14"/>
        <item n="45j" x="5"/>
        <item n="90j" x="10"/>
        <item n="110j" x="15"/>
        <item t="default"/>
      </items>
    </pivotField>
    <pivotField numFmtId="9" showAl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6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Nombre de D_Nais" fld="2" subtotal="count" baseField="0" baseItem="0"/>
  </dataFields>
  <formats count="1">
    <format dxfId="0">
      <pivotArea dataOnly="0" labelOnly="1" grandCol="1" outline="0" fieldPosition="0"/>
    </format>
  </formats>
  <chartFormats count="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515C69-58EA-4720-A270-8124C06C25E0}" name="Tableau croisé dynamique14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Y19:Z25" firstHeaderRow="1" firstDataRow="1" firstDataCol="1"/>
  <pivotFields count="1">
    <pivotField axis="axisRow" dataField="1" numFmtId="9" showAll="0">
      <items count="6">
        <item x="4"/>
        <item x="3"/>
        <item x="1"/>
        <item x="2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Tps%" fld="0" baseField="0" baseItem="0"/>
  </dataFields>
  <formats count="6"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dataOnly="0" labelOnly="1" fieldPosition="0">
        <references count="1">
          <reference field="0" count="0"/>
        </references>
      </pivotArea>
    </format>
    <format dxfId="107">
      <pivotArea dataOnly="0" labelOnly="1" grandRow="1" outline="0" fieldPosition="0"/>
    </format>
    <format dxfId="10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3777CC-C2F6-4E80-B837-1EEF7521AB9E}" name="Tableau croisé dynamique3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Y11:Z16" firstHeaderRow="1" firstDataRow="1" firstDataCol="1"/>
  <pivotFields count="1">
    <pivotField axis="axisRow" dataField="1" showAll="0">
      <items count="5">
        <item x="0"/>
        <item x="1"/>
        <item x="3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de Statut" fld="0" baseField="0" baseItem="0"/>
  </dataFields>
  <formats count="6"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Row" fieldPosition="0"/>
    </format>
    <format dxfId="114">
      <pivotArea dataOnly="0" labelOnly="1" fieldPosition="0">
        <references count="1">
          <reference field="0" count="0"/>
        </references>
      </pivotArea>
    </format>
    <format dxfId="113">
      <pivotArea dataOnly="0" labelOnly="1" grandRow="1" outline="0" fieldPosition="0"/>
    </format>
    <format dxfId="1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2A6E66-C2B4-4CF2-8990-078212AA565D}" name="Tableau croisé dynamique7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Y5:Z8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mbre de Sexe" fld="0" subtotal="count" baseField="0" baseItem="0"/>
  </dataFields>
  <formats count="6"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0" type="button" dataOnly="0" labelOnly="1" outline="0" axis="axisRow" fieldPosition="0"/>
    </format>
    <format dxfId="120">
      <pivotArea dataOnly="0" labelOnly="1" fieldPosition="0">
        <references count="1">
          <reference field="0" count="0"/>
        </references>
      </pivotArea>
    </format>
    <format dxfId="119">
      <pivotArea dataOnly="0" labelOnly="1" grandRow="1" outline="0" fieldPosition="0"/>
    </format>
    <format dxfId="1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1D811-2319-4D07-AEBA-802355DE920B}" name="Tableau croisé dynamique8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C10:D13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mbre de Sexe" fld="0" subtotal="count" baseField="0" baseItem="0"/>
  </dataFields>
  <formats count="4">
    <format dxfId="95">
      <pivotArea collapsedLevelsAreSubtotals="1" fieldPosition="0">
        <references count="1">
          <reference field="0" count="1">
            <x v="1"/>
          </reference>
        </references>
      </pivotArea>
    </format>
    <format dxfId="94">
      <pivotArea dataOnly="0" labelOnly="1" fieldPosition="0">
        <references count="1">
          <reference field="0" count="1">
            <x v="1"/>
          </reference>
        </references>
      </pivotArea>
    </format>
    <format dxfId="93">
      <pivotArea collapsedLevelsAreSubtotals="1" fieldPosition="0">
        <references count="1">
          <reference field="0" count="1">
            <x v="0"/>
          </reference>
        </references>
      </pivotArea>
    </format>
    <format dxfId="92">
      <pivotArea dataOnly="0" labelOnly="1" fieldPosition="0">
        <references count="1">
          <reference field="0" count="1">
            <x v="0"/>
          </reference>
        </references>
      </pivotArea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309B26-FD4D-49A1-A97F-CA0256AE046C}" name="Tableau croisé dynamique4" cacheId="2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4">
  <location ref="B9:E15" firstHeaderRow="1" firstDataRow="2" firstDataCol="1"/>
  <pivotFields count="4">
    <pivotField axis="axisCol" showAll="0">
      <items count="3">
        <item x="0"/>
        <item x="1"/>
        <item t="default"/>
      </items>
    </pivotField>
    <pivotField numFmtId="164" showAll="0"/>
    <pivotField dataField="1" numFmtId="164" showAll="0"/>
    <pivotField axis="axisRow" showAll="0">
      <items count="5">
        <item x="0"/>
        <item x="1"/>
        <item x="3"/>
        <item x="2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Nombre de D_Arrivée" fld="2" subtotal="count" baseField="0" baseItem="0"/>
  </dataFields>
  <formats count="59"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field="0" type="button" dataOnly="0" labelOnly="1" outline="0" axis="axisCol" fieldPosition="0"/>
    </format>
    <format dxfId="87">
      <pivotArea type="topRight" dataOnly="0" labelOnly="1" outline="0" fieldPosition="0"/>
    </format>
    <format dxfId="86">
      <pivotArea field="3" type="button" dataOnly="0" labelOnly="1" outline="0" axis="axisRow" fieldPosition="0"/>
    </format>
    <format dxfId="85">
      <pivotArea dataOnly="0" labelOnly="1" fieldPosition="0">
        <references count="1">
          <reference field="3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1">
          <reference field="0" count="0"/>
        </references>
      </pivotArea>
    </format>
    <format dxfId="82">
      <pivotArea dataOnly="0" labelOnly="1" grandCol="1" outline="0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0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3" type="button" dataOnly="0" labelOnly="1" outline="0" axis="axisRow" fieldPosition="0"/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Row="1" outline="0" fieldPosition="0"/>
    </format>
    <format dxfId="73">
      <pivotArea dataOnly="0" labelOnly="1" fieldPosition="0">
        <references count="1">
          <reference field="0" count="0"/>
        </references>
      </pivotArea>
    </format>
    <format dxfId="72">
      <pivotArea dataOnly="0" labelOnly="1" grandCol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0" type="button" dataOnly="0" labelOnly="1" outline="0" axis="axisCol" fieldPosition="0"/>
    </format>
    <format dxfId="67">
      <pivotArea type="topRight" dataOnly="0" labelOnly="1" outline="0" fieldPosition="0"/>
    </format>
    <format dxfId="66">
      <pivotArea field="3" type="button" dataOnly="0" labelOnly="1" outline="0" axis="axisRow" fieldPosition="0"/>
    </format>
    <format dxfId="65">
      <pivotArea dataOnly="0" labelOnly="1" fieldPosition="0">
        <references count="1">
          <reference field="3" count="0"/>
        </references>
      </pivotArea>
    </format>
    <format dxfId="64">
      <pivotArea dataOnly="0" labelOnly="1" grandRow="1" outline="0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Col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3" type="button" dataOnly="0" labelOnly="1" outline="0" axis="axisRow" fieldPosition="0"/>
    </format>
    <format dxfId="55">
      <pivotArea dataOnly="0" labelOnly="1" fieldPosition="0">
        <references count="1">
          <reference field="3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Col="1" outline="0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0" type="button" dataOnly="0" labelOnly="1" outline="0" axis="axisCol" fieldPosition="0"/>
    </format>
    <format dxfId="47">
      <pivotArea type="topRight" dataOnly="0" labelOnly="1" outline="0" fieldPosition="0"/>
    </format>
    <format dxfId="46">
      <pivotArea field="3" type="button" dataOnly="0" labelOnly="1" outline="0" axis="axisRow" fieldPosition="0"/>
    </format>
    <format dxfId="45">
      <pivotArea dataOnly="0" labelOnly="1" fieldPosition="0">
        <references count="1">
          <reference field="3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Col="1" outline="0" fieldPosition="0"/>
    </format>
    <format dxfId="41">
      <pivotArea dataOnly="0" labelOnly="1" grandCol="1" outline="0" fieldPosition="0"/>
    </format>
    <format dxfId="40">
      <pivotArea dataOnly="0" outline="0" fieldPosition="0">
        <references count="1">
          <reference field="0" count="1">
            <x v="1"/>
          </reference>
        </references>
      </pivotArea>
    </format>
    <format dxfId="39">
      <pivotArea dataOnly="0" labelOnly="1" fieldPosition="0">
        <references count="1">
          <reference field="0" count="1">
            <x v="0"/>
          </reference>
        </references>
      </pivotArea>
    </format>
    <format dxfId="38">
      <pivotArea collapsedLevelsAreSubtotals="1" fieldPosition="0">
        <references count="2">
          <reference field="0" count="1" selected="0">
            <x v="1"/>
          </reference>
          <reference field="3" count="0"/>
        </references>
      </pivotArea>
    </format>
    <format dxfId="37">
      <pivotArea dataOnly="0" labelOnly="1" fieldPosition="0">
        <references count="1">
          <reference field="0" count="1">
            <x v="1"/>
          </reference>
        </references>
      </pivotArea>
    </format>
    <format dxfId="36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35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34">
      <pivotArea dataOnly="0" labelOnly="1" fieldPosition="0">
        <references count="1">
          <reference field="0" count="1">
            <x v="0"/>
          </reference>
        </references>
      </pivotArea>
    </format>
    <format dxfId="33">
      <pivotArea field="0" type="button" dataOnly="0" labelOnly="1" outline="0" axis="axisCol" fieldPosition="0"/>
    </format>
  </formats>
  <chartFormats count="2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F31EAB-63E9-4805-9217-C467BA623A2E}" name="Tableau croisé dynamique4" cacheId="1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4">
  <location ref="B6:C12" firstHeaderRow="1" firstDataRow="1" firstDataCol="1"/>
  <pivotFields count="1">
    <pivotField axis="axisRow" dataField="1" numFmtId="9" showAll="0">
      <items count="6">
        <item x="4"/>
        <item x="3"/>
        <item x="1"/>
        <item x="2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Tps%" fld="0" baseField="0" baseItem="0"/>
  </dataFields>
  <formats count="30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</formats>
  <chartFormats count="6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ECDD40-3786-4997-8A05-D26A486BD001}" name="Tableau croisé dynamique8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6">
  <location ref="B5:H9" firstHeaderRow="1" firstDataRow="2" firstDataCol="1"/>
  <pivotFields count="12">
    <pivotField showAll="0"/>
    <pivotField axis="axisRow" showAll="0">
      <items count="3">
        <item x="1"/>
        <item x="0"/>
        <item t="default"/>
      </items>
    </pivotField>
    <pivotField dataField="1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numFmtId="3" showAll="0">
      <items count="63">
        <item x="9"/>
        <item x="49"/>
        <item x="5"/>
        <item x="20"/>
        <item x="1"/>
        <item x="58"/>
        <item x="32"/>
        <item x="16"/>
        <item x="27"/>
        <item x="8"/>
        <item x="29"/>
        <item x="7"/>
        <item x="26"/>
        <item x="13"/>
        <item x="14"/>
        <item x="45"/>
        <item x="15"/>
        <item x="37"/>
        <item x="34"/>
        <item x="33"/>
        <item x="50"/>
        <item x="0"/>
        <item x="18"/>
        <item x="3"/>
        <item x="60"/>
        <item x="17"/>
        <item x="47"/>
        <item x="28"/>
        <item x="57"/>
        <item x="10"/>
        <item x="39"/>
        <item x="51"/>
        <item x="38"/>
        <item x="61"/>
        <item x="41"/>
        <item x="21"/>
        <item x="19"/>
        <item x="6"/>
        <item x="56"/>
        <item x="53"/>
        <item x="40"/>
        <item x="42"/>
        <item x="2"/>
        <item x="46"/>
        <item x="59"/>
        <item x="48"/>
        <item x="36"/>
        <item x="23"/>
        <item x="4"/>
        <item x="30"/>
        <item x="25"/>
        <item x="54"/>
        <item x="43"/>
        <item x="35"/>
        <item x="22"/>
        <item x="11"/>
        <item x="52"/>
        <item x="44"/>
        <item x="12"/>
        <item x="31"/>
        <item x="24"/>
        <item x="55"/>
        <item t="default"/>
      </items>
    </pivotField>
    <pivotField showAll="0"/>
    <pivotField axis="axisCol" numFmtId="9" showAll="0">
      <items count="6">
        <item x="1"/>
        <item x="2"/>
        <item x="4"/>
        <item x="3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4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4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ombre de D_Nais" fld="2" subtotal="count" baseField="0" baseItem="0"/>
  </dataFields>
  <formats count="1">
    <format dxfId="2">
      <pivotArea dataOnly="0" labelOnly="1" grandCol="1" outline="0" fieldPosition="0"/>
    </format>
  </formats>
  <chartFormats count="2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A5C7A9-78A9-439E-A58A-AFE27C3AF261}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6">
  <location ref="B6:E10" firstHeaderRow="1" firstDataRow="2" firstDataCol="1"/>
  <pivotFields count="12">
    <pivotField showAll="0"/>
    <pivotField axis="axisCol" showAll="0">
      <items count="3">
        <item x="1"/>
        <item x="0"/>
        <item t="default"/>
      </items>
    </pivotField>
    <pivotField dataField="1" numFmtId="164"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3" showAll="0"/>
    <pivotField showAll="0"/>
    <pivotField numFmtId="9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5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h="1" sd="0"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sd="0" x="41"/>
        <item sd="0" x="42"/>
        <item sd="0" x="43"/>
        <item h="1" sd="0" x="44"/>
      </items>
    </pivotField>
    <pivotField showAll="0" defaultSubtotal="0"/>
    <pivotField showAll="0" defaultSubtotal="0"/>
  </pivotFields>
  <rowFields count="2">
    <field x="9"/>
    <field x="3"/>
  </rowFields>
  <rowItems count="3">
    <i>
      <x v="41"/>
    </i>
    <i>
      <x v="4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D_Nais" fld="2" subtotal="count" baseField="0" baseItem="0"/>
  </dataFields>
  <chartFormats count="6"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6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6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7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7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7"/>
  <sheetViews>
    <sheetView topLeftCell="K1" zoomScale="70" zoomScaleNormal="70" workbookViewId="0">
      <selection activeCell="H90" sqref="H90"/>
    </sheetView>
  </sheetViews>
  <sheetFormatPr baseColWidth="10" defaultRowHeight="12.5" x14ac:dyDescent="0.25"/>
  <cols>
    <col min="1" max="1" width="6.26953125" customWidth="1"/>
    <col min="2" max="2" width="22.54296875" bestFit="1" customWidth="1"/>
    <col min="3" max="3" width="11.6328125" style="3" customWidth="1"/>
    <col min="4" max="4" width="14" style="13" customWidth="1"/>
    <col min="5" max="5" width="12.54296875" style="13" bestFit="1" customWidth="1"/>
    <col min="6" max="6" width="17.7265625" style="3" bestFit="1" customWidth="1"/>
    <col min="7" max="7" width="14.6328125" style="3" customWidth="1"/>
    <col min="8" max="8" width="22.81640625" style="3" bestFit="1" customWidth="1"/>
    <col min="9" max="9" width="11.453125" style="3"/>
    <col min="10" max="10" width="11.453125" style="13"/>
    <col min="11" max="14" width="11.453125" style="4"/>
    <col min="15" max="15" width="28.26953125" style="4" customWidth="1"/>
    <col min="16" max="16" width="4.7265625" customWidth="1"/>
    <col min="17" max="17" width="3.81640625" customWidth="1"/>
    <col min="19" max="19" width="2.1796875" customWidth="1"/>
    <col min="20" max="20" width="21.81640625" customWidth="1"/>
    <col min="21" max="21" width="15.1796875" customWidth="1"/>
    <col min="22" max="22" width="1.54296875" customWidth="1"/>
    <col min="23" max="23" width="3.81640625" customWidth="1"/>
    <col min="24" max="24" width="3.26953125" customWidth="1"/>
    <col min="25" max="25" width="22.54296875" bestFit="1" customWidth="1"/>
    <col min="26" max="26" width="25.54296875" bestFit="1" customWidth="1"/>
    <col min="27" max="27" width="2.90625" bestFit="1" customWidth="1"/>
    <col min="28" max="28" width="12.54296875" bestFit="1" customWidth="1"/>
    <col min="29" max="29" width="3.7265625" customWidth="1"/>
    <col min="30" max="30" width="9.7265625" bestFit="1" customWidth="1"/>
    <col min="31" max="31" width="22.54296875" bestFit="1" customWidth="1"/>
    <col min="32" max="32" width="25.54296875" bestFit="1" customWidth="1"/>
    <col min="33" max="33" width="2.90625" bestFit="1" customWidth="1"/>
    <col min="34" max="34" width="12.54296875" bestFit="1" customWidth="1"/>
    <col min="35" max="35" width="1.90625" bestFit="1" customWidth="1"/>
    <col min="36" max="36" width="7" bestFit="1" customWidth="1"/>
    <col min="37" max="37" width="4.36328125" bestFit="1" customWidth="1"/>
    <col min="38" max="40" width="1.90625" bestFit="1" customWidth="1"/>
    <col min="41" max="41" width="7.453125" bestFit="1" customWidth="1"/>
    <col min="42" max="42" width="12.54296875" bestFit="1" customWidth="1"/>
    <col min="43" max="47" width="2.90625" bestFit="1" customWidth="1"/>
    <col min="48" max="48" width="4" bestFit="1" customWidth="1"/>
    <col min="49" max="49" width="12.54296875" bestFit="1" customWidth="1"/>
    <col min="50" max="58" width="5" bestFit="1" customWidth="1"/>
    <col min="59" max="59" width="12.54296875" bestFit="1" customWidth="1"/>
    <col min="60" max="60" width="15.54296875" bestFit="1" customWidth="1"/>
    <col min="61" max="61" width="10" bestFit="1" customWidth="1"/>
    <col min="62" max="62" width="11.90625" bestFit="1" customWidth="1"/>
    <col min="63" max="63" width="15.54296875" bestFit="1" customWidth="1"/>
    <col min="64" max="64" width="11.90625" bestFit="1" customWidth="1"/>
    <col min="65" max="65" width="15.54296875" bestFit="1" customWidth="1"/>
    <col min="66" max="66" width="10" bestFit="1" customWidth="1"/>
    <col min="67" max="67" width="11.90625" bestFit="1" customWidth="1"/>
    <col min="68" max="68" width="15.54296875" bestFit="1" customWidth="1"/>
    <col min="69" max="69" width="10" bestFit="1" customWidth="1"/>
    <col min="70" max="70" width="11.90625" bestFit="1" customWidth="1"/>
    <col min="71" max="71" width="15.54296875" bestFit="1" customWidth="1"/>
    <col min="72" max="72" width="10" bestFit="1" customWidth="1"/>
    <col min="73" max="73" width="11.90625" bestFit="1" customWidth="1"/>
    <col min="74" max="74" width="4.36328125" bestFit="1" customWidth="1"/>
    <col min="75" max="75" width="15.54296875" bestFit="1" customWidth="1"/>
    <col min="76" max="76" width="10" bestFit="1" customWidth="1"/>
    <col min="77" max="77" width="11.90625" bestFit="1" customWidth="1"/>
    <col min="78" max="78" width="15.54296875" bestFit="1" customWidth="1"/>
    <col min="79" max="79" width="10" bestFit="1" customWidth="1"/>
    <col min="80" max="80" width="11.90625" bestFit="1" customWidth="1"/>
    <col min="81" max="81" width="15.54296875" bestFit="1" customWidth="1"/>
    <col min="82" max="82" width="10" bestFit="1" customWidth="1"/>
    <col min="83" max="83" width="11.90625" bestFit="1" customWidth="1"/>
    <col min="84" max="84" width="15.54296875" bestFit="1" customWidth="1"/>
    <col min="85" max="85" width="10" bestFit="1" customWidth="1"/>
    <col min="86" max="86" width="11.90625" bestFit="1" customWidth="1"/>
    <col min="87" max="87" width="4.26953125" bestFit="1" customWidth="1"/>
    <col min="88" max="88" width="15.54296875" bestFit="1" customWidth="1"/>
    <col min="89" max="89" width="10" bestFit="1" customWidth="1"/>
    <col min="90" max="90" width="11.90625" bestFit="1" customWidth="1"/>
    <col min="91" max="91" width="15.54296875" bestFit="1" customWidth="1"/>
    <col min="92" max="92" width="11.90625" bestFit="1" customWidth="1"/>
    <col min="93" max="93" width="15.54296875" bestFit="1" customWidth="1"/>
    <col min="94" max="94" width="10" bestFit="1" customWidth="1"/>
    <col min="95" max="95" width="11.90625" bestFit="1" customWidth="1"/>
    <col min="96" max="96" width="15.54296875" bestFit="1" customWidth="1"/>
    <col min="97" max="97" width="11.90625" bestFit="1" customWidth="1"/>
    <col min="98" max="98" width="15.54296875" bestFit="1" customWidth="1"/>
    <col min="99" max="99" width="11.90625" bestFit="1" customWidth="1"/>
    <col min="100" max="100" width="15.54296875" bestFit="1" customWidth="1"/>
    <col min="101" max="101" width="10" bestFit="1" customWidth="1"/>
    <col min="102" max="102" width="11.90625" bestFit="1" customWidth="1"/>
    <col min="103" max="103" width="15.54296875" bestFit="1" customWidth="1"/>
    <col min="104" max="104" width="10" bestFit="1" customWidth="1"/>
    <col min="105" max="105" width="11.90625" bestFit="1" customWidth="1"/>
    <col min="106" max="106" width="15.54296875" bestFit="1" customWidth="1"/>
    <col min="107" max="107" width="11.90625" bestFit="1" customWidth="1"/>
    <col min="108" max="108" width="15.54296875" bestFit="1" customWidth="1"/>
    <col min="109" max="109" width="10" bestFit="1" customWidth="1"/>
    <col min="110" max="110" width="11.90625" bestFit="1" customWidth="1"/>
    <col min="111" max="111" width="15.54296875" bestFit="1" customWidth="1"/>
    <col min="112" max="112" width="10" bestFit="1" customWidth="1"/>
    <col min="113" max="113" width="11.90625" bestFit="1" customWidth="1"/>
    <col min="114" max="114" width="15.54296875" bestFit="1" customWidth="1"/>
    <col min="115" max="115" width="11.90625" bestFit="1" customWidth="1"/>
    <col min="116" max="116" width="4.90625" bestFit="1" customWidth="1"/>
    <col min="117" max="117" width="15.54296875" bestFit="1" customWidth="1"/>
    <col min="118" max="118" width="11.90625" bestFit="1" customWidth="1"/>
    <col min="119" max="119" width="15.54296875" bestFit="1" customWidth="1"/>
    <col min="120" max="120" width="10" bestFit="1" customWidth="1"/>
    <col min="121" max="121" width="11.90625" bestFit="1" customWidth="1"/>
    <col min="122" max="122" width="15.54296875" bestFit="1" customWidth="1"/>
    <col min="123" max="123" width="11.90625" bestFit="1" customWidth="1"/>
    <col min="124" max="124" width="4.26953125" bestFit="1" customWidth="1"/>
    <col min="125" max="125" width="15.54296875" bestFit="1" customWidth="1"/>
    <col min="126" max="126" width="11.90625" bestFit="1" customWidth="1"/>
    <col min="127" max="127" width="4.90625" bestFit="1" customWidth="1"/>
    <col min="128" max="128" width="15.54296875" bestFit="1" customWidth="1"/>
    <col min="129" max="129" width="10" bestFit="1" customWidth="1"/>
    <col min="130" max="130" width="11.90625" bestFit="1" customWidth="1"/>
    <col min="131" max="131" width="15.54296875" bestFit="1" customWidth="1"/>
    <col min="132" max="132" width="11.90625" bestFit="1" customWidth="1"/>
    <col min="133" max="133" width="4.90625" bestFit="1" customWidth="1"/>
    <col min="134" max="134" width="15.54296875" bestFit="1" customWidth="1"/>
    <col min="135" max="135" width="10" bestFit="1" customWidth="1"/>
    <col min="136" max="136" width="12.54296875" bestFit="1" customWidth="1"/>
    <col min="137" max="137" width="15.54296875" bestFit="1" customWidth="1"/>
    <col min="138" max="138" width="10" bestFit="1" customWidth="1"/>
    <col min="139" max="139" width="11.90625" bestFit="1" customWidth="1"/>
    <col min="140" max="140" width="15.54296875" bestFit="1" customWidth="1"/>
    <col min="141" max="141" width="11.90625" bestFit="1" customWidth="1"/>
    <col min="142" max="142" width="15.54296875" bestFit="1" customWidth="1"/>
    <col min="143" max="143" width="11.90625" bestFit="1" customWidth="1"/>
    <col min="144" max="144" width="4.08984375" bestFit="1" customWidth="1"/>
    <col min="145" max="145" width="15.54296875" bestFit="1" customWidth="1"/>
    <col min="146" max="146" width="10" bestFit="1" customWidth="1"/>
    <col min="147" max="147" width="11.90625" bestFit="1" customWidth="1"/>
    <col min="148" max="148" width="15.54296875" bestFit="1" customWidth="1"/>
    <col min="149" max="149" width="10" bestFit="1" customWidth="1"/>
    <col min="150" max="150" width="11.90625" bestFit="1" customWidth="1"/>
    <col min="151" max="151" width="4.90625" bestFit="1" customWidth="1"/>
    <col min="152" max="152" width="15.54296875" bestFit="1" customWidth="1"/>
    <col min="153" max="153" width="10" bestFit="1" customWidth="1"/>
    <col min="154" max="154" width="11.90625" bestFit="1" customWidth="1"/>
    <col min="155" max="155" width="4.90625" bestFit="1" customWidth="1"/>
    <col min="156" max="156" width="15.54296875" bestFit="1" customWidth="1"/>
    <col min="157" max="157" width="10" bestFit="1" customWidth="1"/>
    <col min="158" max="158" width="11.90625" bestFit="1" customWidth="1"/>
    <col min="159" max="159" width="15.54296875" bestFit="1" customWidth="1"/>
    <col min="160" max="160" width="10" bestFit="1" customWidth="1"/>
    <col min="161" max="161" width="12.54296875" bestFit="1" customWidth="1"/>
  </cols>
  <sheetData>
    <row r="1" spans="1:42" ht="18" x14ac:dyDescent="0.4">
      <c r="A1" s="89" t="s">
        <v>154</v>
      </c>
    </row>
    <row r="2" spans="1:42" ht="18.5" thickBot="1" x14ac:dyDescent="0.45">
      <c r="A2" s="89" t="s">
        <v>155</v>
      </c>
    </row>
    <row r="3" spans="1:42" ht="13.5" thickBot="1" x14ac:dyDescent="0.35">
      <c r="A3" s="69"/>
      <c r="X3" s="173" t="s">
        <v>156</v>
      </c>
      <c r="Y3" s="174"/>
      <c r="Z3" s="174"/>
      <c r="AA3" s="174"/>
      <c r="AB3" s="174"/>
      <c r="AC3" s="175"/>
    </row>
    <row r="4" spans="1:42" ht="18.5" thickBot="1" x14ac:dyDescent="0.45">
      <c r="B4" s="39" t="s">
        <v>52</v>
      </c>
      <c r="C4" s="27"/>
      <c r="E4" s="26" t="s">
        <v>136</v>
      </c>
      <c r="G4" s="168" t="s">
        <v>129</v>
      </c>
      <c r="H4" s="169"/>
      <c r="I4" s="28">
        <v>44561</v>
      </c>
      <c r="K4" s="25"/>
      <c r="L4" s="25"/>
      <c r="M4" s="25"/>
      <c r="N4" s="25"/>
      <c r="O4" s="25"/>
      <c r="Q4" s="170" t="s">
        <v>131</v>
      </c>
      <c r="R4" s="171"/>
      <c r="S4" s="171"/>
      <c r="T4" s="171"/>
      <c r="U4" s="172"/>
      <c r="X4" s="14"/>
      <c r="Y4" s="15"/>
      <c r="Z4" s="15"/>
      <c r="AA4" s="15"/>
      <c r="AB4" s="15"/>
      <c r="AC4" s="16"/>
    </row>
    <row r="5" spans="1:42" ht="13.5" thickBot="1" x14ac:dyDescent="0.35">
      <c r="Q5" s="2"/>
      <c r="R5" s="2"/>
      <c r="S5" s="2"/>
      <c r="T5" s="2"/>
      <c r="U5" s="2"/>
      <c r="X5" s="14"/>
      <c r="Y5" s="82" t="s">
        <v>144</v>
      </c>
      <c r="Z5" s="15" t="s">
        <v>146</v>
      </c>
      <c r="AA5" s="15"/>
      <c r="AB5" s="15"/>
      <c r="AC5" s="16"/>
    </row>
    <row r="6" spans="1:42" s="2" customFormat="1" ht="13.5" thickBot="1" x14ac:dyDescent="0.35">
      <c r="B6" s="5" t="s">
        <v>0</v>
      </c>
      <c r="C6" s="6" t="s">
        <v>1</v>
      </c>
      <c r="D6" s="11" t="s">
        <v>2</v>
      </c>
      <c r="E6" s="11" t="s">
        <v>3</v>
      </c>
      <c r="F6" s="6" t="s">
        <v>5</v>
      </c>
      <c r="G6" s="6" t="s">
        <v>7</v>
      </c>
      <c r="H6" s="6" t="s">
        <v>51</v>
      </c>
      <c r="I6" s="6" t="s">
        <v>50</v>
      </c>
      <c r="J6" s="11" t="s">
        <v>4</v>
      </c>
      <c r="K6" s="7" t="s">
        <v>6</v>
      </c>
      <c r="L6" s="67"/>
      <c r="M6" s="67" t="s">
        <v>152</v>
      </c>
      <c r="N6" s="67" t="s">
        <v>153</v>
      </c>
      <c r="O6" s="67" t="s">
        <v>151</v>
      </c>
      <c r="P6"/>
      <c r="Q6" s="55"/>
      <c r="R6" s="56" t="s">
        <v>116</v>
      </c>
      <c r="S6" s="57"/>
      <c r="T6" s="57"/>
      <c r="U6" s="58"/>
      <c r="X6" s="141"/>
      <c r="Y6" s="139" t="s">
        <v>9</v>
      </c>
      <c r="Z6" s="83">
        <v>29</v>
      </c>
      <c r="AA6" s="15"/>
      <c r="AB6" s="21"/>
      <c r="AC6" s="87"/>
      <c r="AE6"/>
      <c r="AF6"/>
      <c r="AG6"/>
      <c r="AH6"/>
      <c r="AI6"/>
      <c r="AJ6"/>
      <c r="AK6"/>
      <c r="AL6"/>
      <c r="AM6"/>
      <c r="AN6"/>
      <c r="AO6"/>
      <c r="AP6"/>
    </row>
    <row r="7" spans="1:42" x14ac:dyDescent="0.25">
      <c r="A7" s="1"/>
      <c r="B7" s="41" t="s">
        <v>10</v>
      </c>
      <c r="C7" s="150" t="s">
        <v>8</v>
      </c>
      <c r="D7" s="153">
        <v>29728</v>
      </c>
      <c r="E7" s="154">
        <v>38108</v>
      </c>
      <c r="F7" s="52">
        <v>1</v>
      </c>
      <c r="G7" s="102">
        <v>28175</v>
      </c>
      <c r="H7" s="102">
        <v>0</v>
      </c>
      <c r="I7" s="43">
        <v>1</v>
      </c>
      <c r="J7" s="42" t="s">
        <v>130</v>
      </c>
      <c r="K7" s="44" t="s">
        <v>130</v>
      </c>
      <c r="L7" s="68" t="str">
        <f t="shared" ref="L7:L38" si="0">B7</f>
        <v>Individu_01</v>
      </c>
      <c r="M7" s="70">
        <f t="shared" ref="M7:M38" si="1">($I$4-D7)/365.25</f>
        <v>40.610540725530456</v>
      </c>
      <c r="N7" s="70">
        <f>IF(M7&lt;='Pyramide des âges'!$C$6,1,IF(M7&lt;='Pyramide des âges'!$C$7,2,IF(M7&lt;='Pyramide des âges'!$C$8,3,IF(M7&lt;='Pyramide des âges'!$C$9,4,5))))</f>
        <v>3</v>
      </c>
      <c r="O7" s="68">
        <f t="shared" ref="O7:O38" si="2">($I$4-E7)/365.25</f>
        <v>17.66735112936345</v>
      </c>
      <c r="Q7" s="59"/>
      <c r="R7" s="15" t="s">
        <v>117</v>
      </c>
      <c r="S7" s="15"/>
      <c r="T7" s="15"/>
      <c r="U7" s="60"/>
      <c r="X7" s="142"/>
      <c r="Y7" s="139" t="s">
        <v>8</v>
      </c>
      <c r="Z7" s="83">
        <v>35</v>
      </c>
      <c r="AA7" s="15"/>
      <c r="AB7" s="15"/>
      <c r="AC7" s="88"/>
    </row>
    <row r="8" spans="1:42" ht="13" x14ac:dyDescent="0.3">
      <c r="A8" s="1"/>
      <c r="B8" s="45" t="s">
        <v>11</v>
      </c>
      <c r="C8" s="151" t="s">
        <v>9</v>
      </c>
      <c r="D8" s="153">
        <v>25428</v>
      </c>
      <c r="E8" s="153">
        <v>32721</v>
      </c>
      <c r="F8" s="53">
        <v>2</v>
      </c>
      <c r="G8" s="9">
        <v>21906</v>
      </c>
      <c r="H8" s="9">
        <v>24</v>
      </c>
      <c r="I8" s="10">
        <v>0.5</v>
      </c>
      <c r="J8" s="12" t="s">
        <v>130</v>
      </c>
      <c r="K8" s="46" t="s">
        <v>130</v>
      </c>
      <c r="L8" s="68" t="str">
        <f t="shared" si="0"/>
        <v>Individu_02</v>
      </c>
      <c r="M8" s="70">
        <f t="shared" si="1"/>
        <v>52.383299110198493</v>
      </c>
      <c r="N8" s="70">
        <f>IF(M8&lt;='Pyramide des âges'!$C$6,1,IF(M8&lt;='Pyramide des âges'!$C$7,2,IF(M8&lt;='Pyramide des âges'!$C$8,3,IF(M8&lt;='Pyramide des âges'!$C$9,4,5))))</f>
        <v>4</v>
      </c>
      <c r="O8" s="68">
        <f t="shared" si="2"/>
        <v>32.416153319644081</v>
      </c>
      <c r="Q8" s="59"/>
      <c r="R8" s="15"/>
      <c r="S8" s="24" t="s">
        <v>128</v>
      </c>
      <c r="T8" s="15" t="s">
        <v>121</v>
      </c>
      <c r="U8" s="60"/>
      <c r="X8" s="142"/>
      <c r="Y8" s="139" t="s">
        <v>145</v>
      </c>
      <c r="Z8" s="83">
        <v>64</v>
      </c>
      <c r="AA8" s="15"/>
      <c r="AB8" s="15"/>
      <c r="AC8" s="88"/>
    </row>
    <row r="9" spans="1:42" x14ac:dyDescent="0.25">
      <c r="A9" s="1"/>
      <c r="B9" s="45" t="s">
        <v>12</v>
      </c>
      <c r="C9" s="151" t="s">
        <v>9</v>
      </c>
      <c r="D9" s="153">
        <v>28529</v>
      </c>
      <c r="E9" s="153">
        <v>37653</v>
      </c>
      <c r="F9" s="53">
        <v>2</v>
      </c>
      <c r="G9" s="9">
        <v>35152</v>
      </c>
      <c r="H9" s="9">
        <v>11</v>
      </c>
      <c r="I9" s="10">
        <v>1</v>
      </c>
      <c r="J9" s="12" t="s">
        <v>130</v>
      </c>
      <c r="K9" s="46" t="s">
        <v>130</v>
      </c>
      <c r="L9" s="68" t="str">
        <f t="shared" si="0"/>
        <v>Individu_03</v>
      </c>
      <c r="M9" s="70">
        <f t="shared" si="1"/>
        <v>43.893223819301845</v>
      </c>
      <c r="N9" s="70">
        <f>IF(M9&lt;='Pyramide des âges'!$C$6,1,IF(M9&lt;='Pyramide des âges'!$C$7,2,IF(M9&lt;='Pyramide des âges'!$C$8,3,IF(M9&lt;='Pyramide des âges'!$C$9,4,5))))</f>
        <v>4</v>
      </c>
      <c r="O9" s="68">
        <f t="shared" si="2"/>
        <v>18.913073237508556</v>
      </c>
      <c r="Q9" s="59"/>
      <c r="R9" s="15"/>
      <c r="S9" s="15"/>
      <c r="T9" s="15" t="s">
        <v>118</v>
      </c>
      <c r="U9" s="60"/>
      <c r="X9" s="142"/>
      <c r="Y9" s="15"/>
      <c r="Z9" s="15"/>
      <c r="AA9" s="15"/>
      <c r="AB9" s="15"/>
      <c r="AC9" s="88"/>
    </row>
    <row r="10" spans="1:42" x14ac:dyDescent="0.25">
      <c r="A10" s="1"/>
      <c r="B10" s="45" t="s">
        <v>14</v>
      </c>
      <c r="C10" s="151" t="s">
        <v>8</v>
      </c>
      <c r="D10" s="153">
        <v>34611</v>
      </c>
      <c r="E10" s="153">
        <v>41334</v>
      </c>
      <c r="F10" s="53">
        <v>2</v>
      </c>
      <c r="G10" s="9">
        <v>28269</v>
      </c>
      <c r="H10" s="9">
        <v>0</v>
      </c>
      <c r="I10" s="10">
        <v>1</v>
      </c>
      <c r="J10" s="12" t="s">
        <v>130</v>
      </c>
      <c r="K10" s="46" t="s">
        <v>130</v>
      </c>
      <c r="L10" s="68" t="str">
        <f t="shared" si="0"/>
        <v>Individu_05</v>
      </c>
      <c r="M10" s="70">
        <f t="shared" si="1"/>
        <v>27.241615331964407</v>
      </c>
      <c r="N10" s="70">
        <f>IF(M10&lt;='Pyramide des âges'!$C$6,1,IF(M10&lt;='Pyramide des âges'!$C$7,2,IF(M10&lt;='Pyramide des âges'!$C$8,3,IF(M10&lt;='Pyramide des âges'!$C$9,4,5))))</f>
        <v>2</v>
      </c>
      <c r="O10" s="68">
        <f t="shared" si="2"/>
        <v>8.8350444900752905</v>
      </c>
      <c r="Q10" s="59"/>
      <c r="R10" s="15"/>
      <c r="S10" s="15"/>
      <c r="T10" s="15" t="s">
        <v>119</v>
      </c>
      <c r="U10" s="60"/>
      <c r="X10" s="142"/>
      <c r="Y10" s="15"/>
      <c r="Z10" s="15"/>
      <c r="AA10" s="15"/>
      <c r="AB10" s="15"/>
      <c r="AC10" s="88"/>
    </row>
    <row r="11" spans="1:42" x14ac:dyDescent="0.25">
      <c r="A11" s="1"/>
      <c r="B11" s="45" t="s">
        <v>15</v>
      </c>
      <c r="C11" s="151" t="s">
        <v>8</v>
      </c>
      <c r="D11" s="153">
        <v>26974</v>
      </c>
      <c r="E11" s="153">
        <v>37257</v>
      </c>
      <c r="F11" s="53">
        <v>3</v>
      </c>
      <c r="G11" s="9">
        <v>49929</v>
      </c>
      <c r="H11" s="9">
        <v>2</v>
      </c>
      <c r="I11" s="10">
        <v>1</v>
      </c>
      <c r="J11" s="12" t="s">
        <v>130</v>
      </c>
      <c r="K11" s="46" t="s">
        <v>130</v>
      </c>
      <c r="L11" s="68" t="str">
        <f t="shared" si="0"/>
        <v>Individu_06</v>
      </c>
      <c r="M11" s="70">
        <f t="shared" si="1"/>
        <v>48.150581793292268</v>
      </c>
      <c r="N11" s="70">
        <f>IF(M11&lt;='Pyramide des âges'!$C$6,1,IF(M11&lt;='Pyramide des âges'!$C$7,2,IF(M11&lt;='Pyramide des âges'!$C$8,3,IF(M11&lt;='Pyramide des âges'!$C$9,4,5))))</f>
        <v>4</v>
      </c>
      <c r="O11" s="68">
        <f t="shared" si="2"/>
        <v>19.997262149212869</v>
      </c>
      <c r="Q11" s="59"/>
      <c r="R11" s="15"/>
      <c r="S11" s="15"/>
      <c r="T11" s="15" t="s">
        <v>107</v>
      </c>
      <c r="U11" s="60"/>
      <c r="X11" s="142"/>
      <c r="Y11" s="82" t="s">
        <v>144</v>
      </c>
      <c r="Z11" s="15" t="s">
        <v>147</v>
      </c>
      <c r="AA11" s="15"/>
      <c r="AB11" s="15"/>
      <c r="AC11" s="88"/>
      <c r="AD11" s="51"/>
    </row>
    <row r="12" spans="1:42" x14ac:dyDescent="0.25">
      <c r="A12" s="1"/>
      <c r="B12" s="45" t="s">
        <v>16</v>
      </c>
      <c r="C12" s="151" t="s">
        <v>8</v>
      </c>
      <c r="D12" s="153">
        <v>33679</v>
      </c>
      <c r="E12" s="153">
        <v>42887</v>
      </c>
      <c r="F12" s="53">
        <v>2</v>
      </c>
      <c r="G12" s="9">
        <v>20234</v>
      </c>
      <c r="H12" s="9">
        <v>1</v>
      </c>
      <c r="I12" s="10">
        <v>0.6</v>
      </c>
      <c r="J12" s="12" t="s">
        <v>130</v>
      </c>
      <c r="K12" s="46" t="s">
        <v>130</v>
      </c>
      <c r="L12" s="68" t="str">
        <f t="shared" si="0"/>
        <v>Individu_07</v>
      </c>
      <c r="M12" s="70">
        <f t="shared" si="1"/>
        <v>29.793292265571527</v>
      </c>
      <c r="N12" s="70">
        <f>IF(M12&lt;='Pyramide des âges'!$C$6,1,IF(M12&lt;='Pyramide des âges'!$C$7,2,IF(M12&lt;='Pyramide des âges'!$C$8,3,IF(M12&lt;='Pyramide des âges'!$C$9,4,5))))</f>
        <v>2</v>
      </c>
      <c r="O12" s="68">
        <f t="shared" si="2"/>
        <v>4.5831622176591376</v>
      </c>
      <c r="Q12" s="59"/>
      <c r="R12" s="15"/>
      <c r="S12" s="15"/>
      <c r="T12" s="15" t="s">
        <v>120</v>
      </c>
      <c r="U12" s="60"/>
      <c r="X12" s="142"/>
      <c r="Y12" s="139">
        <v>1</v>
      </c>
      <c r="Z12" s="83">
        <v>28</v>
      </c>
      <c r="AA12" s="15"/>
      <c r="AB12" s="15"/>
      <c r="AC12" s="88"/>
      <c r="AD12" s="51"/>
    </row>
    <row r="13" spans="1:42" x14ac:dyDescent="0.25">
      <c r="A13" s="1"/>
      <c r="B13" s="45" t="s">
        <v>18</v>
      </c>
      <c r="C13" s="151" t="s">
        <v>9</v>
      </c>
      <c r="D13" s="153">
        <v>35275</v>
      </c>
      <c r="E13" s="153">
        <v>43678</v>
      </c>
      <c r="F13" s="53">
        <v>2</v>
      </c>
      <c r="G13" s="9">
        <v>31481</v>
      </c>
      <c r="H13" s="9">
        <v>0</v>
      </c>
      <c r="I13" s="10">
        <v>1</v>
      </c>
      <c r="J13" s="12" t="s">
        <v>130</v>
      </c>
      <c r="K13" s="46" t="s">
        <v>130</v>
      </c>
      <c r="L13" s="68" t="str">
        <f t="shared" si="0"/>
        <v>Individu_09</v>
      </c>
      <c r="M13" s="70">
        <f t="shared" si="1"/>
        <v>25.423682409308693</v>
      </c>
      <c r="N13" s="70">
        <f>IF(M13&lt;='Pyramide des âges'!$C$6,1,IF(M13&lt;='Pyramide des âges'!$C$7,2,IF(M13&lt;='Pyramide des âges'!$C$8,3,IF(M13&lt;='Pyramide des âges'!$C$9,4,5))))</f>
        <v>1</v>
      </c>
      <c r="O13" s="68">
        <f t="shared" si="2"/>
        <v>2.4175222450376452</v>
      </c>
      <c r="Q13" s="59"/>
      <c r="R13" s="15" t="s">
        <v>122</v>
      </c>
      <c r="S13" s="15"/>
      <c r="T13" s="15"/>
      <c r="U13" s="60"/>
      <c r="X13" s="142"/>
      <c r="Y13" s="139">
        <v>2</v>
      </c>
      <c r="Z13" s="83">
        <v>38</v>
      </c>
      <c r="AA13" s="15"/>
      <c r="AB13" s="15"/>
      <c r="AC13" s="88"/>
      <c r="AD13" s="51"/>
    </row>
    <row r="14" spans="1:42" ht="13" x14ac:dyDescent="0.3">
      <c r="A14" s="1"/>
      <c r="B14" s="45" t="s">
        <v>19</v>
      </c>
      <c r="C14" s="151" t="s">
        <v>9</v>
      </c>
      <c r="D14" s="153">
        <v>31383</v>
      </c>
      <c r="E14" s="153">
        <v>41579</v>
      </c>
      <c r="F14" s="53">
        <v>1</v>
      </c>
      <c r="G14" s="9">
        <v>26961</v>
      </c>
      <c r="H14" s="9">
        <v>45</v>
      </c>
      <c r="I14" s="10">
        <v>1</v>
      </c>
      <c r="J14" s="12" t="s">
        <v>130</v>
      </c>
      <c r="K14" s="46" t="s">
        <v>130</v>
      </c>
      <c r="L14" s="68" t="str">
        <f t="shared" si="0"/>
        <v>Individu_10</v>
      </c>
      <c r="M14" s="70">
        <f t="shared" si="1"/>
        <v>36.079397672826829</v>
      </c>
      <c r="N14" s="70">
        <f>IF(M14&lt;='Pyramide des âges'!$C$6,1,IF(M14&lt;='Pyramide des âges'!$C$7,2,IF(M14&lt;='Pyramide des âges'!$C$8,3,IF(M14&lt;='Pyramide des âges'!$C$9,4,5))))</f>
        <v>3</v>
      </c>
      <c r="O14" s="68">
        <f t="shared" si="2"/>
        <v>8.1642710472279258</v>
      </c>
      <c r="Q14" s="59"/>
      <c r="R14" s="17" t="s">
        <v>123</v>
      </c>
      <c r="S14" s="15"/>
      <c r="T14" s="15"/>
      <c r="U14" s="60"/>
      <c r="X14" s="142"/>
      <c r="Y14" s="139">
        <v>3</v>
      </c>
      <c r="Z14" s="83">
        <v>39</v>
      </c>
      <c r="AA14" s="15"/>
      <c r="AB14" s="15"/>
      <c r="AC14" s="88"/>
      <c r="AD14" s="51"/>
    </row>
    <row r="15" spans="1:42" x14ac:dyDescent="0.25">
      <c r="A15" s="1"/>
      <c r="B15" s="45" t="s">
        <v>20</v>
      </c>
      <c r="C15" s="151" t="s">
        <v>9</v>
      </c>
      <c r="D15" s="153">
        <v>31726</v>
      </c>
      <c r="E15" s="153">
        <v>38657</v>
      </c>
      <c r="F15" s="53">
        <v>1</v>
      </c>
      <c r="G15" s="9">
        <v>26059</v>
      </c>
      <c r="H15" s="9">
        <v>0</v>
      </c>
      <c r="I15" s="10">
        <v>1</v>
      </c>
      <c r="J15" s="12" t="s">
        <v>130</v>
      </c>
      <c r="K15" s="46" t="s">
        <v>130</v>
      </c>
      <c r="L15" s="68" t="str">
        <f t="shared" si="0"/>
        <v>Individu_11</v>
      </c>
      <c r="M15" s="70">
        <f t="shared" si="1"/>
        <v>35.140314852840518</v>
      </c>
      <c r="N15" s="70">
        <f>IF(M15&lt;='Pyramide des âges'!$C$6,1,IF(M15&lt;='Pyramide des âges'!$C$7,2,IF(M15&lt;='Pyramide des âges'!$C$8,3,IF(M15&lt;='Pyramide des âges'!$C$9,4,5))))</f>
        <v>2</v>
      </c>
      <c r="O15" s="68">
        <f t="shared" si="2"/>
        <v>16.164271047227928</v>
      </c>
      <c r="Q15" s="59"/>
      <c r="R15" s="15"/>
      <c r="S15" s="15"/>
      <c r="T15" s="15" t="s">
        <v>124</v>
      </c>
      <c r="U15" s="60"/>
      <c r="X15" s="142"/>
      <c r="Y15" s="139">
        <v>4</v>
      </c>
      <c r="Z15" s="83">
        <v>16</v>
      </c>
      <c r="AA15" s="15"/>
      <c r="AB15" s="15"/>
      <c r="AC15" s="88"/>
      <c r="AD15" s="51"/>
    </row>
    <row r="16" spans="1:42" x14ac:dyDescent="0.25">
      <c r="A16" s="1"/>
      <c r="B16" s="45" t="s">
        <v>21</v>
      </c>
      <c r="C16" s="151" t="s">
        <v>9</v>
      </c>
      <c r="D16" s="153">
        <v>28910</v>
      </c>
      <c r="E16" s="153">
        <v>40360</v>
      </c>
      <c r="F16" s="53">
        <v>2</v>
      </c>
      <c r="G16" s="9">
        <v>16844</v>
      </c>
      <c r="H16" s="9">
        <v>0</v>
      </c>
      <c r="I16" s="10">
        <v>0.5</v>
      </c>
      <c r="J16" s="12" t="s">
        <v>130</v>
      </c>
      <c r="K16" s="46" t="s">
        <v>130</v>
      </c>
      <c r="L16" s="68" t="str">
        <f t="shared" si="0"/>
        <v>Individu_12</v>
      </c>
      <c r="M16" s="70">
        <f t="shared" si="1"/>
        <v>42.850102669404521</v>
      </c>
      <c r="N16" s="70">
        <f>IF(M16&lt;='Pyramide des âges'!$C$6,1,IF(M16&lt;='Pyramide des âges'!$C$7,2,IF(M16&lt;='Pyramide des âges'!$C$8,3,IF(M16&lt;='Pyramide des âges'!$C$9,4,5))))</f>
        <v>4</v>
      </c>
      <c r="O16" s="68">
        <f t="shared" si="2"/>
        <v>11.501711156741958</v>
      </c>
      <c r="Q16" s="59"/>
      <c r="R16" s="15"/>
      <c r="S16" s="15"/>
      <c r="T16" s="15" t="s">
        <v>125</v>
      </c>
      <c r="U16" s="60"/>
      <c r="X16" s="142"/>
      <c r="Y16" s="139" t="s">
        <v>145</v>
      </c>
      <c r="Z16" s="83">
        <v>121</v>
      </c>
      <c r="AA16" s="15"/>
      <c r="AB16" s="15"/>
      <c r="AC16" s="88"/>
      <c r="AD16" s="51"/>
    </row>
    <row r="17" spans="1:30" x14ac:dyDescent="0.25">
      <c r="A17" s="1"/>
      <c r="B17" s="45" t="s">
        <v>22</v>
      </c>
      <c r="C17" s="151" t="s">
        <v>8</v>
      </c>
      <c r="D17" s="153">
        <v>34137</v>
      </c>
      <c r="E17" s="153">
        <v>41974</v>
      </c>
      <c r="F17" s="53">
        <v>2</v>
      </c>
      <c r="G17" s="9">
        <v>28882</v>
      </c>
      <c r="H17" s="9">
        <v>0</v>
      </c>
      <c r="I17" s="10">
        <v>1</v>
      </c>
      <c r="J17" s="12" t="s">
        <v>130</v>
      </c>
      <c r="K17" s="46" t="s">
        <v>130</v>
      </c>
      <c r="L17" s="68" t="str">
        <f t="shared" si="0"/>
        <v>Individu_13</v>
      </c>
      <c r="M17" s="70">
        <f t="shared" si="1"/>
        <v>28.539356605065024</v>
      </c>
      <c r="N17" s="70">
        <f>IF(M17&lt;='Pyramide des âges'!$C$6,1,IF(M17&lt;='Pyramide des âges'!$C$7,2,IF(M17&lt;='Pyramide des âges'!$C$8,3,IF(M17&lt;='Pyramide des âges'!$C$9,4,5))))</f>
        <v>2</v>
      </c>
      <c r="O17" s="68">
        <f t="shared" si="2"/>
        <v>7.0828199863107457</v>
      </c>
      <c r="Q17" s="59"/>
      <c r="R17" s="15"/>
      <c r="S17" s="15"/>
      <c r="T17" s="15" t="s">
        <v>126</v>
      </c>
      <c r="U17" s="60"/>
      <c r="X17" s="142"/>
      <c r="Y17" s="15"/>
      <c r="Z17" s="15"/>
      <c r="AA17" s="15"/>
      <c r="AB17" s="15"/>
      <c r="AC17" s="88"/>
      <c r="AD17" s="51"/>
    </row>
    <row r="18" spans="1:30" ht="13" thickBot="1" x14ac:dyDescent="0.3">
      <c r="A18" s="1"/>
      <c r="B18" s="45" t="s">
        <v>24</v>
      </c>
      <c r="C18" s="151" t="s">
        <v>8</v>
      </c>
      <c r="D18" s="153">
        <v>23834</v>
      </c>
      <c r="E18" s="153">
        <v>32690</v>
      </c>
      <c r="F18" s="53">
        <v>3</v>
      </c>
      <c r="G18" s="9">
        <v>55313</v>
      </c>
      <c r="H18" s="9">
        <v>3</v>
      </c>
      <c r="I18" s="10">
        <v>1</v>
      </c>
      <c r="J18" s="12" t="s">
        <v>130</v>
      </c>
      <c r="K18" s="46" t="s">
        <v>130</v>
      </c>
      <c r="L18" s="68" t="str">
        <f t="shared" si="0"/>
        <v>Individu_15</v>
      </c>
      <c r="M18" s="70">
        <f t="shared" si="1"/>
        <v>56.747433264887064</v>
      </c>
      <c r="N18" s="70">
        <f>IF(M18&lt;='Pyramide des âges'!$C$6,1,IF(M18&lt;='Pyramide des âges'!$C$7,2,IF(M18&lt;='Pyramide des âges'!$C$8,3,IF(M18&lt;='Pyramide des âges'!$C$9,4,5))))</f>
        <v>5</v>
      </c>
      <c r="O18" s="68">
        <f t="shared" si="2"/>
        <v>32.501026694045173</v>
      </c>
      <c r="Q18" s="61"/>
      <c r="R18" s="62"/>
      <c r="S18" s="62"/>
      <c r="T18" s="62" t="s">
        <v>127</v>
      </c>
      <c r="U18" s="63"/>
      <c r="X18" s="142"/>
      <c r="Y18" s="15"/>
      <c r="Z18" s="15"/>
      <c r="AA18" s="15"/>
      <c r="AB18" s="15"/>
      <c r="AC18" s="88"/>
      <c r="AD18" s="138"/>
    </row>
    <row r="19" spans="1:30" x14ac:dyDescent="0.25">
      <c r="A19" s="1"/>
      <c r="B19" s="45" t="s">
        <v>25</v>
      </c>
      <c r="C19" s="151" t="s">
        <v>8</v>
      </c>
      <c r="D19" s="153">
        <v>23986</v>
      </c>
      <c r="E19" s="153">
        <v>30348</v>
      </c>
      <c r="F19" s="53">
        <v>4</v>
      </c>
      <c r="G19" s="9">
        <v>99367</v>
      </c>
      <c r="H19" s="9">
        <v>4</v>
      </c>
      <c r="I19" s="10">
        <v>1</v>
      </c>
      <c r="J19" s="12" t="s">
        <v>130</v>
      </c>
      <c r="K19" s="46" t="s">
        <v>130</v>
      </c>
      <c r="L19" s="68" t="str">
        <f t="shared" si="0"/>
        <v>Individu_16</v>
      </c>
      <c r="M19" s="70">
        <f t="shared" si="1"/>
        <v>56.331279945242983</v>
      </c>
      <c r="N19" s="70">
        <f>IF(M19&lt;='Pyramide des âges'!$C$6,1,IF(M19&lt;='Pyramide des âges'!$C$7,2,IF(M19&lt;='Pyramide des âges'!$C$8,3,IF(M19&lt;='Pyramide des âges'!$C$9,4,5))))</f>
        <v>5</v>
      </c>
      <c r="O19" s="68">
        <f t="shared" si="2"/>
        <v>38.913073237508556</v>
      </c>
      <c r="X19" s="142"/>
      <c r="Y19" s="82" t="s">
        <v>144</v>
      </c>
      <c r="Z19" s="15" t="s">
        <v>148</v>
      </c>
      <c r="AA19" s="15"/>
      <c r="AB19" s="15"/>
      <c r="AC19" s="88"/>
      <c r="AD19" s="138"/>
    </row>
    <row r="20" spans="1:30" ht="13" x14ac:dyDescent="0.3">
      <c r="A20" s="1"/>
      <c r="B20" s="45" t="s">
        <v>27</v>
      </c>
      <c r="C20" s="151" t="s">
        <v>9</v>
      </c>
      <c r="D20" s="153">
        <v>24612</v>
      </c>
      <c r="E20" s="153">
        <v>34669</v>
      </c>
      <c r="F20" s="53">
        <v>1</v>
      </c>
      <c r="G20" s="9">
        <v>27374</v>
      </c>
      <c r="H20" s="9">
        <v>10</v>
      </c>
      <c r="I20" s="10">
        <v>1</v>
      </c>
      <c r="J20" s="12" t="s">
        <v>130</v>
      </c>
      <c r="K20" s="46" t="s">
        <v>130</v>
      </c>
      <c r="L20" s="68" t="str">
        <f t="shared" si="0"/>
        <v>Individu_18</v>
      </c>
      <c r="M20" s="70">
        <f t="shared" si="1"/>
        <v>54.617385352498289</v>
      </c>
      <c r="N20" s="70">
        <f>IF(M20&lt;='Pyramide des âges'!$C$6,1,IF(M20&lt;='Pyramide des âges'!$C$7,2,IF(M20&lt;='Pyramide des âges'!$C$8,3,IF(M20&lt;='Pyramide des âges'!$C$9,4,5))))</f>
        <v>4</v>
      </c>
      <c r="O20" s="68">
        <f t="shared" si="2"/>
        <v>27.082819986310746</v>
      </c>
      <c r="Q20" s="133"/>
      <c r="R20" s="134" t="s">
        <v>111</v>
      </c>
      <c r="S20" s="135"/>
      <c r="T20" s="135"/>
      <c r="U20" s="136"/>
      <c r="X20" s="142"/>
      <c r="Y20" s="140">
        <v>0.5</v>
      </c>
      <c r="Z20" s="83">
        <v>1</v>
      </c>
      <c r="AA20" s="15"/>
      <c r="AB20" s="15"/>
      <c r="AC20" s="88"/>
      <c r="AD20" s="138"/>
    </row>
    <row r="21" spans="1:30" ht="13" x14ac:dyDescent="0.3">
      <c r="A21" s="1"/>
      <c r="B21" s="45" t="s">
        <v>28</v>
      </c>
      <c r="C21" s="151" t="s">
        <v>9</v>
      </c>
      <c r="D21" s="153">
        <v>25536</v>
      </c>
      <c r="E21" s="153">
        <v>36039</v>
      </c>
      <c r="F21" s="53">
        <v>1</v>
      </c>
      <c r="G21" s="9">
        <v>27482</v>
      </c>
      <c r="H21" s="9">
        <v>0</v>
      </c>
      <c r="I21" s="10">
        <v>1</v>
      </c>
      <c r="J21" s="12" t="s">
        <v>130</v>
      </c>
      <c r="K21" s="46" t="s">
        <v>130</v>
      </c>
      <c r="L21" s="68" t="str">
        <f t="shared" si="0"/>
        <v>Individu_19</v>
      </c>
      <c r="M21" s="70">
        <f t="shared" si="1"/>
        <v>52.087611225188226</v>
      </c>
      <c r="N21" s="70">
        <f>IF(M21&lt;='Pyramide des âges'!$C$6,1,IF(M21&lt;='Pyramide des âges'!$C$7,2,IF(M21&lt;='Pyramide des âges'!$C$8,3,IF(M21&lt;='Pyramide des âges'!$C$9,4,5))))</f>
        <v>4</v>
      </c>
      <c r="O21" s="68">
        <f t="shared" si="2"/>
        <v>23.331964407939768</v>
      </c>
      <c r="Q21" s="14"/>
      <c r="R21" s="21" t="s">
        <v>93</v>
      </c>
      <c r="S21" s="21"/>
      <c r="T21" s="40" t="s">
        <v>135</v>
      </c>
      <c r="U21" s="16"/>
      <c r="X21" s="142"/>
      <c r="Y21" s="140">
        <v>0.6</v>
      </c>
      <c r="Z21" s="83">
        <v>1.7999999999999998</v>
      </c>
      <c r="AA21" s="15"/>
      <c r="AB21" s="15"/>
      <c r="AC21" s="88"/>
      <c r="AD21" s="138"/>
    </row>
    <row r="22" spans="1:30" ht="13" x14ac:dyDescent="0.3">
      <c r="A22" s="1"/>
      <c r="B22" s="45" t="s">
        <v>29</v>
      </c>
      <c r="C22" s="151" t="s">
        <v>8</v>
      </c>
      <c r="D22" s="153">
        <v>26287</v>
      </c>
      <c r="E22" s="153">
        <v>35186</v>
      </c>
      <c r="F22" s="53">
        <v>1</v>
      </c>
      <c r="G22" s="9">
        <v>27579</v>
      </c>
      <c r="H22" s="9">
        <v>20</v>
      </c>
      <c r="I22" s="10">
        <v>1</v>
      </c>
      <c r="J22" s="12" t="s">
        <v>130</v>
      </c>
      <c r="K22" s="46" t="s">
        <v>130</v>
      </c>
      <c r="L22" s="68" t="str">
        <f t="shared" si="0"/>
        <v>Individu_20</v>
      </c>
      <c r="M22" s="70">
        <f t="shared" si="1"/>
        <v>50.031485284052017</v>
      </c>
      <c r="N22" s="70">
        <f>IF(M22&lt;='Pyramide des âges'!$C$6,1,IF(M22&lt;='Pyramide des âges'!$C$7,2,IF(M22&lt;='Pyramide des âges'!$C$8,3,IF(M22&lt;='Pyramide des âges'!$C$9,4,5))))</f>
        <v>4</v>
      </c>
      <c r="O22" s="68">
        <f t="shared" si="2"/>
        <v>25.66735112936345</v>
      </c>
      <c r="Q22" s="14"/>
      <c r="R22" s="21" t="s">
        <v>1</v>
      </c>
      <c r="S22" s="15" t="s">
        <v>8</v>
      </c>
      <c r="T22" s="15"/>
      <c r="U22" s="16"/>
      <c r="X22" s="142"/>
      <c r="Y22" s="140">
        <v>0.7</v>
      </c>
      <c r="Z22" s="83">
        <v>0.7</v>
      </c>
      <c r="AA22" s="15"/>
      <c r="AB22" s="15"/>
      <c r="AC22" s="88"/>
      <c r="AD22" s="138"/>
    </row>
    <row r="23" spans="1:30" x14ac:dyDescent="0.25">
      <c r="A23" s="1"/>
      <c r="B23" s="45" t="s">
        <v>30</v>
      </c>
      <c r="C23" s="151" t="s">
        <v>8</v>
      </c>
      <c r="D23" s="153">
        <v>28459</v>
      </c>
      <c r="E23" s="153">
        <v>36892</v>
      </c>
      <c r="F23" s="53">
        <v>1</v>
      </c>
      <c r="G23" s="9">
        <v>24385</v>
      </c>
      <c r="H23" s="9">
        <v>90</v>
      </c>
      <c r="I23" s="10">
        <v>0.8</v>
      </c>
      <c r="J23" s="12" t="s">
        <v>130</v>
      </c>
      <c r="K23" s="46" t="s">
        <v>130</v>
      </c>
      <c r="L23" s="68" t="str">
        <f t="shared" si="0"/>
        <v>Individu_21</v>
      </c>
      <c r="M23" s="70">
        <f t="shared" si="1"/>
        <v>44.084873374401099</v>
      </c>
      <c r="N23" s="70">
        <f>IF(M23&lt;='Pyramide des âges'!$C$6,1,IF(M23&lt;='Pyramide des âges'!$C$7,2,IF(M23&lt;='Pyramide des âges'!$C$8,3,IF(M23&lt;='Pyramide des âges'!$C$9,4,5))))</f>
        <v>4</v>
      </c>
      <c r="O23" s="68">
        <f t="shared" si="2"/>
        <v>20.996577686516083</v>
      </c>
      <c r="Q23" s="14"/>
      <c r="R23" s="15"/>
      <c r="S23" s="15" t="s">
        <v>9</v>
      </c>
      <c r="T23" s="15"/>
      <c r="U23" s="16"/>
      <c r="X23" s="142"/>
      <c r="Y23" s="140">
        <v>0.8</v>
      </c>
      <c r="Z23" s="83">
        <v>3.2</v>
      </c>
      <c r="AA23" s="15"/>
      <c r="AB23" s="15"/>
      <c r="AC23" s="88"/>
      <c r="AD23" s="138"/>
    </row>
    <row r="24" spans="1:30" ht="13" x14ac:dyDescent="0.3">
      <c r="A24" s="1"/>
      <c r="B24" s="45" t="s">
        <v>31</v>
      </c>
      <c r="C24" s="151" t="s">
        <v>9</v>
      </c>
      <c r="D24" s="153">
        <v>28567</v>
      </c>
      <c r="E24" s="153">
        <v>41061</v>
      </c>
      <c r="F24" s="53">
        <v>1</v>
      </c>
      <c r="G24" s="9">
        <v>28418</v>
      </c>
      <c r="H24" s="9">
        <v>2</v>
      </c>
      <c r="I24" s="10">
        <v>1</v>
      </c>
      <c r="J24" s="12" t="s">
        <v>130</v>
      </c>
      <c r="K24" s="46" t="s">
        <v>130</v>
      </c>
      <c r="L24" s="68" t="str">
        <f t="shared" si="0"/>
        <v>Individu_22</v>
      </c>
      <c r="M24" s="70">
        <f t="shared" si="1"/>
        <v>43.789185489390832</v>
      </c>
      <c r="N24" s="70">
        <f>IF(M24&lt;='Pyramide des âges'!$C$6,1,IF(M24&lt;='Pyramide des âges'!$C$7,2,IF(M24&lt;='Pyramide des âges'!$C$8,3,IF(M24&lt;='Pyramide des âges'!$C$9,4,5))))</f>
        <v>4</v>
      </c>
      <c r="O24" s="68">
        <f t="shared" si="2"/>
        <v>9.5824777549623548</v>
      </c>
      <c r="Q24" s="14"/>
      <c r="R24" s="21" t="s">
        <v>5</v>
      </c>
      <c r="S24" s="15">
        <v>1</v>
      </c>
      <c r="T24" s="15" t="s">
        <v>101</v>
      </c>
      <c r="U24" s="16"/>
      <c r="X24" s="142"/>
      <c r="Y24" s="140">
        <v>1</v>
      </c>
      <c r="Z24" s="83">
        <v>54</v>
      </c>
      <c r="AA24" s="15"/>
      <c r="AB24" s="15"/>
      <c r="AC24" s="88"/>
      <c r="AD24" s="138"/>
    </row>
    <row r="25" spans="1:30" x14ac:dyDescent="0.25">
      <c r="A25" s="1"/>
      <c r="B25" s="45" t="s">
        <v>32</v>
      </c>
      <c r="C25" s="151" t="s">
        <v>9</v>
      </c>
      <c r="D25" s="153">
        <v>28687</v>
      </c>
      <c r="E25" s="153">
        <v>37561</v>
      </c>
      <c r="F25" s="53">
        <v>1</v>
      </c>
      <c r="G25" s="9">
        <v>28264</v>
      </c>
      <c r="H25" s="9">
        <v>16</v>
      </c>
      <c r="I25" s="10">
        <v>1</v>
      </c>
      <c r="J25" s="12" t="s">
        <v>130</v>
      </c>
      <c r="K25" s="46" t="s">
        <v>130</v>
      </c>
      <c r="L25" s="68" t="str">
        <f t="shared" si="0"/>
        <v>Individu_23</v>
      </c>
      <c r="M25" s="70">
        <f t="shared" si="1"/>
        <v>43.460643394934976</v>
      </c>
      <c r="N25" s="70">
        <f>IF(M25&lt;='Pyramide des âges'!$C$6,1,IF(M25&lt;='Pyramide des âges'!$C$7,2,IF(M25&lt;='Pyramide des âges'!$C$8,3,IF(M25&lt;='Pyramide des âges'!$C$9,4,5))))</f>
        <v>4</v>
      </c>
      <c r="O25" s="68">
        <f t="shared" si="2"/>
        <v>19.16495550992471</v>
      </c>
      <c r="Q25" s="14"/>
      <c r="R25" s="15"/>
      <c r="S25" s="15">
        <v>2</v>
      </c>
      <c r="T25" s="15" t="s">
        <v>102</v>
      </c>
      <c r="U25" s="16"/>
      <c r="X25" s="142"/>
      <c r="Y25" s="140" t="s">
        <v>145</v>
      </c>
      <c r="Z25" s="83">
        <v>60.7</v>
      </c>
      <c r="AA25" s="15"/>
      <c r="AB25" s="15"/>
      <c r="AC25" s="88"/>
      <c r="AD25" s="138"/>
    </row>
    <row r="26" spans="1:30" x14ac:dyDescent="0.25">
      <c r="A26" s="1"/>
      <c r="B26" s="45" t="s">
        <v>33</v>
      </c>
      <c r="C26" s="151" t="s">
        <v>8</v>
      </c>
      <c r="D26" s="153">
        <v>29547</v>
      </c>
      <c r="E26" s="153">
        <v>43678</v>
      </c>
      <c r="F26" s="53">
        <v>2</v>
      </c>
      <c r="G26" s="9">
        <v>30969</v>
      </c>
      <c r="H26" s="9">
        <v>0</v>
      </c>
      <c r="I26" s="10">
        <v>1</v>
      </c>
      <c r="J26" s="12" t="s">
        <v>130</v>
      </c>
      <c r="K26" s="46" t="s">
        <v>130</v>
      </c>
      <c r="L26" s="68" t="str">
        <f t="shared" si="0"/>
        <v>Individu_24</v>
      </c>
      <c r="M26" s="70">
        <f t="shared" si="1"/>
        <v>41.106091718001366</v>
      </c>
      <c r="N26" s="70">
        <f>IF(M26&lt;='Pyramide des âges'!$C$6,1,IF(M26&lt;='Pyramide des âges'!$C$7,2,IF(M26&lt;='Pyramide des âges'!$C$8,3,IF(M26&lt;='Pyramide des âges'!$C$9,4,5))))</f>
        <v>4</v>
      </c>
      <c r="O26" s="68">
        <f t="shared" si="2"/>
        <v>2.4175222450376452</v>
      </c>
      <c r="Q26" s="14"/>
      <c r="R26" s="15"/>
      <c r="S26" s="15">
        <v>3</v>
      </c>
      <c r="T26" s="15" t="s">
        <v>103</v>
      </c>
      <c r="U26" s="16"/>
      <c r="X26" s="142"/>
      <c r="Y26" s="15"/>
      <c r="Z26" s="15"/>
      <c r="AA26" s="15"/>
      <c r="AB26" s="15"/>
      <c r="AC26" s="88"/>
      <c r="AD26" s="138"/>
    </row>
    <row r="27" spans="1:30" x14ac:dyDescent="0.25">
      <c r="A27" s="1"/>
      <c r="B27" s="45" t="s">
        <v>34</v>
      </c>
      <c r="C27" s="151" t="s">
        <v>9</v>
      </c>
      <c r="D27" s="153">
        <v>29696</v>
      </c>
      <c r="E27" s="153">
        <v>42491</v>
      </c>
      <c r="F27" s="53">
        <v>2</v>
      </c>
      <c r="G27" s="9">
        <v>20523</v>
      </c>
      <c r="H27" s="9">
        <v>0</v>
      </c>
      <c r="I27" s="10">
        <v>0.6</v>
      </c>
      <c r="J27" s="12" t="s">
        <v>130</v>
      </c>
      <c r="K27" s="46" t="s">
        <v>130</v>
      </c>
      <c r="L27" s="68" t="str">
        <f t="shared" si="0"/>
        <v>Individu_25</v>
      </c>
      <c r="M27" s="70">
        <f t="shared" si="1"/>
        <v>40.698151950718689</v>
      </c>
      <c r="N27" s="70">
        <f>IF(M27&lt;='Pyramide des âges'!$C$6,1,IF(M27&lt;='Pyramide des âges'!$C$7,2,IF(M27&lt;='Pyramide des âges'!$C$8,3,IF(M27&lt;='Pyramide des âges'!$C$9,4,5))))</f>
        <v>3</v>
      </c>
      <c r="O27" s="68">
        <f t="shared" si="2"/>
        <v>5.6673511293634498</v>
      </c>
      <c r="Q27" s="14"/>
      <c r="R27" s="15"/>
      <c r="S27" s="15">
        <v>4</v>
      </c>
      <c r="T27" s="15" t="s">
        <v>104</v>
      </c>
      <c r="U27" s="16"/>
      <c r="X27" s="142"/>
      <c r="Y27" s="15"/>
      <c r="Z27" s="15"/>
      <c r="AA27" s="15"/>
      <c r="AB27" s="15"/>
      <c r="AC27" s="88"/>
      <c r="AD27" s="138"/>
    </row>
    <row r="28" spans="1:30" ht="13" x14ac:dyDescent="0.3">
      <c r="A28" s="1"/>
      <c r="B28" s="45" t="s">
        <v>36</v>
      </c>
      <c r="C28" s="151" t="s">
        <v>8</v>
      </c>
      <c r="D28" s="153">
        <v>30344</v>
      </c>
      <c r="E28" s="153">
        <v>39052</v>
      </c>
      <c r="F28" s="53">
        <v>2</v>
      </c>
      <c r="G28" s="9">
        <v>30759</v>
      </c>
      <c r="H28" s="9">
        <v>1</v>
      </c>
      <c r="I28" s="10">
        <v>1</v>
      </c>
      <c r="J28" s="12" t="s">
        <v>130</v>
      </c>
      <c r="K28" s="46" t="s">
        <v>130</v>
      </c>
      <c r="L28" s="68" t="str">
        <f t="shared" si="0"/>
        <v>Individu_27</v>
      </c>
      <c r="M28" s="70">
        <f t="shared" si="1"/>
        <v>38.924024640657088</v>
      </c>
      <c r="N28" s="70">
        <f>IF(M28&lt;='Pyramide des âges'!$C$6,1,IF(M28&lt;='Pyramide des âges'!$C$7,2,IF(M28&lt;='Pyramide des âges'!$C$8,3,IF(M28&lt;='Pyramide des âges'!$C$9,4,5))))</f>
        <v>3</v>
      </c>
      <c r="O28" s="68">
        <f t="shared" si="2"/>
        <v>15.082819986310746</v>
      </c>
      <c r="Q28" s="14"/>
      <c r="R28" s="21" t="s">
        <v>105</v>
      </c>
      <c r="S28" s="15"/>
      <c r="T28" s="15" t="s">
        <v>106</v>
      </c>
      <c r="U28" s="16"/>
      <c r="X28" s="142"/>
      <c r="Y28" s="82" t="s">
        <v>149</v>
      </c>
      <c r="Z28" s="82" t="s">
        <v>150</v>
      </c>
      <c r="AA28" s="15"/>
      <c r="AB28" s="15"/>
      <c r="AC28" s="16"/>
      <c r="AD28" s="15"/>
    </row>
    <row r="29" spans="1:30" x14ac:dyDescent="0.25">
      <c r="A29" s="1"/>
      <c r="B29" s="45" t="s">
        <v>37</v>
      </c>
      <c r="C29" s="151" t="s">
        <v>8</v>
      </c>
      <c r="D29" s="153">
        <v>30387</v>
      </c>
      <c r="E29" s="153">
        <v>43435</v>
      </c>
      <c r="F29" s="53">
        <v>3</v>
      </c>
      <c r="G29" s="9">
        <v>54566</v>
      </c>
      <c r="H29" s="9">
        <v>9</v>
      </c>
      <c r="I29" s="10">
        <v>1</v>
      </c>
      <c r="J29" s="12" t="s">
        <v>130</v>
      </c>
      <c r="K29" s="46" t="s">
        <v>130</v>
      </c>
      <c r="L29" s="68" t="str">
        <f t="shared" si="0"/>
        <v>Individu_28</v>
      </c>
      <c r="M29" s="70">
        <f t="shared" si="1"/>
        <v>38.806297056810401</v>
      </c>
      <c r="N29" s="70">
        <f>IF(M29&lt;='Pyramide des âges'!$C$6,1,IF(M29&lt;='Pyramide des âges'!$C$7,2,IF(M29&lt;='Pyramide des âges'!$C$8,3,IF(M29&lt;='Pyramide des âges'!$C$9,4,5))))</f>
        <v>3</v>
      </c>
      <c r="O29" s="68">
        <f t="shared" si="2"/>
        <v>3.0828199863107462</v>
      </c>
      <c r="Q29" s="14"/>
      <c r="R29" s="15"/>
      <c r="S29" s="15"/>
      <c r="T29" s="15" t="s">
        <v>112</v>
      </c>
      <c r="U29" s="16"/>
      <c r="X29" s="142"/>
      <c r="Y29" s="82" t="s">
        <v>144</v>
      </c>
      <c r="Z29" s="15" t="s">
        <v>9</v>
      </c>
      <c r="AA29" s="15" t="s">
        <v>8</v>
      </c>
      <c r="AB29" s="15" t="s">
        <v>145</v>
      </c>
      <c r="AC29" s="16"/>
      <c r="AD29" s="15"/>
    </row>
    <row r="30" spans="1:30" x14ac:dyDescent="0.25">
      <c r="A30" s="1"/>
      <c r="B30" s="45" t="s">
        <v>38</v>
      </c>
      <c r="C30" s="151" t="s">
        <v>9</v>
      </c>
      <c r="D30" s="153">
        <v>30917</v>
      </c>
      <c r="E30" s="153">
        <v>39661</v>
      </c>
      <c r="F30" s="53">
        <v>3</v>
      </c>
      <c r="G30" s="9">
        <v>46356</v>
      </c>
      <c r="H30" s="9">
        <v>0</v>
      </c>
      <c r="I30" s="10">
        <v>1</v>
      </c>
      <c r="J30" s="12" t="s">
        <v>130</v>
      </c>
      <c r="K30" s="46" t="s">
        <v>130</v>
      </c>
      <c r="L30" s="68" t="str">
        <f t="shared" si="0"/>
        <v>Individu_29</v>
      </c>
      <c r="M30" s="70">
        <f t="shared" si="1"/>
        <v>37.355236139630392</v>
      </c>
      <c r="N30" s="70">
        <f>IF(M30&lt;='Pyramide des âges'!$C$6,1,IF(M30&lt;='Pyramide des âges'!$C$7,2,IF(M30&lt;='Pyramide des âges'!$C$8,3,IF(M30&lt;='Pyramide des âges'!$C$9,4,5))))</f>
        <v>3</v>
      </c>
      <c r="O30" s="68">
        <f t="shared" si="2"/>
        <v>13.415468856947296</v>
      </c>
      <c r="Q30" s="14"/>
      <c r="R30" s="15"/>
      <c r="S30" s="15"/>
      <c r="T30" s="15" t="s">
        <v>113</v>
      </c>
      <c r="U30" s="16"/>
      <c r="X30" s="142"/>
      <c r="Y30" s="139">
        <v>1</v>
      </c>
      <c r="Z30" s="83">
        <v>13</v>
      </c>
      <c r="AA30" s="83">
        <v>15</v>
      </c>
      <c r="AB30" s="83">
        <v>28</v>
      </c>
      <c r="AC30" s="16"/>
      <c r="AD30" s="15"/>
    </row>
    <row r="31" spans="1:30" ht="13" x14ac:dyDescent="0.3">
      <c r="A31" s="1"/>
      <c r="B31" s="45" t="s">
        <v>40</v>
      </c>
      <c r="C31" s="151" t="s">
        <v>8</v>
      </c>
      <c r="D31" s="153">
        <v>32117</v>
      </c>
      <c r="E31" s="153">
        <v>41699</v>
      </c>
      <c r="F31" s="53">
        <v>4</v>
      </c>
      <c r="G31" s="9">
        <v>127272</v>
      </c>
      <c r="H31" s="9">
        <v>0</v>
      </c>
      <c r="I31" s="10">
        <v>1</v>
      </c>
      <c r="J31" s="12" t="s">
        <v>130</v>
      </c>
      <c r="K31" s="46" t="s">
        <v>130</v>
      </c>
      <c r="L31" s="68" t="str">
        <f t="shared" si="0"/>
        <v>Individu_31</v>
      </c>
      <c r="M31" s="70">
        <f t="shared" si="1"/>
        <v>34.069815195071868</v>
      </c>
      <c r="N31" s="70">
        <f>IF(M31&lt;='Pyramide des âges'!$C$6,1,IF(M31&lt;='Pyramide des âges'!$C$7,2,IF(M31&lt;='Pyramide des âges'!$C$8,3,IF(M31&lt;='Pyramide des âges'!$C$9,4,5))))</f>
        <v>2</v>
      </c>
      <c r="O31" s="68">
        <f t="shared" si="2"/>
        <v>7.8357289527720742</v>
      </c>
      <c r="Q31" s="14"/>
      <c r="R31" s="21" t="s">
        <v>107</v>
      </c>
      <c r="S31" s="15"/>
      <c r="T31" s="15" t="s">
        <v>110</v>
      </c>
      <c r="U31" s="16"/>
      <c r="X31" s="142"/>
      <c r="Y31" s="139">
        <v>2</v>
      </c>
      <c r="Z31" s="83">
        <v>11</v>
      </c>
      <c r="AA31" s="83">
        <v>8</v>
      </c>
      <c r="AB31" s="83">
        <v>19</v>
      </c>
      <c r="AC31" s="16"/>
      <c r="AD31" s="15"/>
    </row>
    <row r="32" spans="1:30" x14ac:dyDescent="0.25">
      <c r="A32" s="1"/>
      <c r="B32" s="45" t="s">
        <v>41</v>
      </c>
      <c r="C32" s="151" t="s">
        <v>8</v>
      </c>
      <c r="D32" s="153">
        <v>32815</v>
      </c>
      <c r="E32" s="153">
        <v>41883</v>
      </c>
      <c r="F32" s="53">
        <v>3</v>
      </c>
      <c r="G32" s="9">
        <v>52174</v>
      </c>
      <c r="H32" s="9">
        <v>1</v>
      </c>
      <c r="I32" s="10">
        <v>1</v>
      </c>
      <c r="J32" s="12" t="s">
        <v>130</v>
      </c>
      <c r="K32" s="46" t="s">
        <v>130</v>
      </c>
      <c r="L32" s="68" t="str">
        <f t="shared" si="0"/>
        <v>Individu_32</v>
      </c>
      <c r="M32" s="70">
        <f t="shared" si="1"/>
        <v>32.158795345653665</v>
      </c>
      <c r="N32" s="70">
        <f>IF(M32&lt;='Pyramide des âges'!$C$6,1,IF(M32&lt;='Pyramide des âges'!$C$7,2,IF(M32&lt;='Pyramide des âges'!$C$8,3,IF(M32&lt;='Pyramide des âges'!$C$9,4,5))))</f>
        <v>2</v>
      </c>
      <c r="O32" s="68">
        <f t="shared" si="2"/>
        <v>7.3319644079397674</v>
      </c>
      <c r="Q32" s="14"/>
      <c r="R32" s="15"/>
      <c r="S32" s="15"/>
      <c r="T32" s="15"/>
      <c r="U32" s="16"/>
      <c r="X32" s="142"/>
      <c r="Y32" s="139">
        <v>3</v>
      </c>
      <c r="Z32" s="83">
        <v>4</v>
      </c>
      <c r="AA32" s="83">
        <v>9</v>
      </c>
      <c r="AB32" s="83">
        <v>13</v>
      </c>
      <c r="AC32" s="16"/>
      <c r="AD32" s="15"/>
    </row>
    <row r="33" spans="1:30" ht="13" x14ac:dyDescent="0.3">
      <c r="A33" s="1"/>
      <c r="B33" s="45" t="s">
        <v>42</v>
      </c>
      <c r="C33" s="151" t="s">
        <v>8</v>
      </c>
      <c r="D33" s="153">
        <v>33158</v>
      </c>
      <c r="E33" s="153">
        <v>41000</v>
      </c>
      <c r="F33" s="53">
        <v>1</v>
      </c>
      <c r="G33" s="9">
        <v>27082</v>
      </c>
      <c r="H33" s="9">
        <v>5</v>
      </c>
      <c r="I33" s="10">
        <v>1</v>
      </c>
      <c r="J33" s="12" t="s">
        <v>130</v>
      </c>
      <c r="K33" s="46" t="s">
        <v>130</v>
      </c>
      <c r="L33" s="68" t="str">
        <f t="shared" si="0"/>
        <v>Individu_33</v>
      </c>
      <c r="M33" s="70">
        <f t="shared" si="1"/>
        <v>31.219712525667351</v>
      </c>
      <c r="N33" s="70">
        <f>IF(M33&lt;='Pyramide des âges'!$C$6,1,IF(M33&lt;='Pyramide des âges'!$C$7,2,IF(M33&lt;='Pyramide des âges'!$C$8,3,IF(M33&lt;='Pyramide des âges'!$C$9,4,5))))</f>
        <v>2</v>
      </c>
      <c r="O33" s="68">
        <f t="shared" si="2"/>
        <v>9.7494866529774136</v>
      </c>
      <c r="Q33" s="14"/>
      <c r="R33" s="22" t="s">
        <v>108</v>
      </c>
      <c r="S33" s="15"/>
      <c r="T33" s="15" t="s">
        <v>109</v>
      </c>
      <c r="U33" s="16"/>
      <c r="X33" s="142"/>
      <c r="Y33" s="139">
        <v>4</v>
      </c>
      <c r="Z33" s="83">
        <v>1</v>
      </c>
      <c r="AA33" s="83">
        <v>3</v>
      </c>
      <c r="AB33" s="83">
        <v>4</v>
      </c>
      <c r="AC33" s="16"/>
      <c r="AD33" s="15"/>
    </row>
    <row r="34" spans="1:30" x14ac:dyDescent="0.25">
      <c r="A34" s="1"/>
      <c r="B34" s="45" t="s">
        <v>43</v>
      </c>
      <c r="C34" s="151" t="s">
        <v>8</v>
      </c>
      <c r="D34" s="153">
        <v>33454</v>
      </c>
      <c r="E34" s="153">
        <v>43101</v>
      </c>
      <c r="F34" s="53">
        <v>1</v>
      </c>
      <c r="G34" s="9">
        <v>25951</v>
      </c>
      <c r="H34" s="9">
        <v>10</v>
      </c>
      <c r="I34" s="10">
        <v>1</v>
      </c>
      <c r="J34" s="12" t="s">
        <v>130</v>
      </c>
      <c r="K34" s="46" t="s">
        <v>130</v>
      </c>
      <c r="L34" s="68" t="str">
        <f t="shared" si="0"/>
        <v>Individu_34</v>
      </c>
      <c r="M34" s="70">
        <f t="shared" si="1"/>
        <v>30.409308692676248</v>
      </c>
      <c r="N34" s="70">
        <f>IF(M34&lt;='Pyramide des âges'!$C$6,1,IF(M34&lt;='Pyramide des âges'!$C$7,2,IF(M34&lt;='Pyramide des âges'!$C$8,3,IF(M34&lt;='Pyramide des âges'!$C$9,4,5))))</f>
        <v>2</v>
      </c>
      <c r="O34" s="68">
        <f t="shared" si="2"/>
        <v>3.9972621492128679</v>
      </c>
      <c r="Q34" s="14"/>
      <c r="R34" s="15"/>
      <c r="S34" s="15"/>
      <c r="T34" s="15"/>
      <c r="U34" s="16"/>
      <c r="X34" s="142"/>
      <c r="Y34" s="139" t="s">
        <v>145</v>
      </c>
      <c r="Z34" s="83">
        <v>29</v>
      </c>
      <c r="AA34" s="83">
        <v>35</v>
      </c>
      <c r="AB34" s="83">
        <v>64</v>
      </c>
      <c r="AC34" s="16"/>
      <c r="AD34" s="15"/>
    </row>
    <row r="35" spans="1:30" ht="13" x14ac:dyDescent="0.3">
      <c r="A35" s="1"/>
      <c r="B35" s="45" t="s">
        <v>45</v>
      </c>
      <c r="C35" s="151" t="s">
        <v>8</v>
      </c>
      <c r="D35" s="153">
        <v>33855</v>
      </c>
      <c r="E35" s="153">
        <v>42583</v>
      </c>
      <c r="F35" s="53">
        <v>1</v>
      </c>
      <c r="G35" s="9">
        <v>28732</v>
      </c>
      <c r="H35" s="9">
        <v>0</v>
      </c>
      <c r="I35" s="10">
        <v>1</v>
      </c>
      <c r="J35" s="12" t="s">
        <v>130</v>
      </c>
      <c r="K35" s="46" t="s">
        <v>130</v>
      </c>
      <c r="L35" s="68" t="str">
        <f t="shared" si="0"/>
        <v>Individu_36</v>
      </c>
      <c r="M35" s="70">
        <f t="shared" si="1"/>
        <v>29.311430527036276</v>
      </c>
      <c r="N35" s="70">
        <f>IF(M35&lt;='Pyramide des âges'!$C$6,1,IF(M35&lt;='Pyramide des âges'!$C$7,2,IF(M35&lt;='Pyramide des âges'!$C$8,3,IF(M35&lt;='Pyramide des âges'!$C$9,4,5))))</f>
        <v>2</v>
      </c>
      <c r="O35" s="68">
        <f t="shared" si="2"/>
        <v>5.415468856947296</v>
      </c>
      <c r="Q35" s="14"/>
      <c r="R35" s="21" t="s">
        <v>6</v>
      </c>
      <c r="S35" s="15">
        <v>1</v>
      </c>
      <c r="T35" s="15" t="s">
        <v>94</v>
      </c>
      <c r="U35" s="16"/>
      <c r="X35" s="143"/>
      <c r="Y35" s="19"/>
      <c r="Z35" s="19"/>
      <c r="AA35" s="19"/>
      <c r="AB35" s="19"/>
      <c r="AC35" s="20"/>
      <c r="AD35" s="15"/>
    </row>
    <row r="36" spans="1:30" x14ac:dyDescent="0.25">
      <c r="A36" s="1"/>
      <c r="B36" s="45" t="s">
        <v>46</v>
      </c>
      <c r="C36" s="151" t="s">
        <v>9</v>
      </c>
      <c r="D36" s="153">
        <v>34502</v>
      </c>
      <c r="E36" s="153">
        <v>42156</v>
      </c>
      <c r="F36" s="53">
        <v>1</v>
      </c>
      <c r="G36" s="9">
        <v>27082</v>
      </c>
      <c r="H36" s="9">
        <v>0</v>
      </c>
      <c r="I36" s="10">
        <v>1</v>
      </c>
      <c r="J36" s="12" t="s">
        <v>130</v>
      </c>
      <c r="K36" s="46" t="s">
        <v>130</v>
      </c>
      <c r="L36" s="68" t="str">
        <f t="shared" si="0"/>
        <v>Individu_37</v>
      </c>
      <c r="M36" s="70">
        <f t="shared" si="1"/>
        <v>27.540041067761805</v>
      </c>
      <c r="N36" s="70">
        <f>IF(M36&lt;='Pyramide des âges'!$C$6,1,IF(M36&lt;='Pyramide des âges'!$C$7,2,IF(M36&lt;='Pyramide des âges'!$C$8,3,IF(M36&lt;='Pyramide des âges'!$C$9,4,5))))</f>
        <v>2</v>
      </c>
      <c r="O36" s="68">
        <f t="shared" si="2"/>
        <v>6.584531143052704</v>
      </c>
      <c r="Q36" s="14"/>
      <c r="R36" s="15"/>
      <c r="S36" s="15">
        <v>2</v>
      </c>
      <c r="T36" s="15" t="s">
        <v>95</v>
      </c>
      <c r="U36" s="16"/>
      <c r="X36" s="137"/>
      <c r="AB36" s="15"/>
      <c r="AC36" s="137"/>
      <c r="AD36" s="138"/>
    </row>
    <row r="37" spans="1:30" x14ac:dyDescent="0.25">
      <c r="A37" s="1"/>
      <c r="B37" s="45" t="s">
        <v>47</v>
      </c>
      <c r="C37" s="151" t="s">
        <v>8</v>
      </c>
      <c r="D37" s="153">
        <v>34698</v>
      </c>
      <c r="E37" s="153">
        <v>42156</v>
      </c>
      <c r="F37" s="53">
        <v>1</v>
      </c>
      <c r="G37" s="9">
        <v>26252</v>
      </c>
      <c r="H37" s="9">
        <v>2</v>
      </c>
      <c r="I37" s="10">
        <v>1</v>
      </c>
      <c r="J37" s="12" t="s">
        <v>130</v>
      </c>
      <c r="K37" s="46" t="s">
        <v>130</v>
      </c>
      <c r="L37" s="68" t="str">
        <f t="shared" si="0"/>
        <v>Individu_38</v>
      </c>
      <c r="M37" s="70">
        <f t="shared" si="1"/>
        <v>27.003422313483917</v>
      </c>
      <c r="N37" s="70">
        <f>IF(M37&lt;='Pyramide des âges'!$C$6,1,IF(M37&lt;='Pyramide des âges'!$C$7,2,IF(M37&lt;='Pyramide des âges'!$C$8,3,IF(M37&lt;='Pyramide des âges'!$C$9,4,5))))</f>
        <v>2</v>
      </c>
      <c r="O37" s="68">
        <f t="shared" si="2"/>
        <v>6.584531143052704</v>
      </c>
      <c r="Q37" s="14"/>
      <c r="R37" s="15"/>
      <c r="S37" s="15">
        <v>3</v>
      </c>
      <c r="T37" s="15" t="s">
        <v>96</v>
      </c>
      <c r="U37" s="16"/>
      <c r="X37" s="137"/>
      <c r="AB37" s="15"/>
      <c r="AC37" s="137"/>
      <c r="AD37" s="138"/>
    </row>
    <row r="38" spans="1:30" x14ac:dyDescent="0.25">
      <c r="A38" s="1"/>
      <c r="B38" s="45" t="s">
        <v>49</v>
      </c>
      <c r="C38" s="151" t="s">
        <v>9</v>
      </c>
      <c r="D38" s="153">
        <v>36065</v>
      </c>
      <c r="E38" s="153">
        <v>43282</v>
      </c>
      <c r="F38" s="53">
        <v>1</v>
      </c>
      <c r="G38" s="9">
        <v>26059</v>
      </c>
      <c r="H38" s="9">
        <v>0</v>
      </c>
      <c r="I38" s="10">
        <v>1</v>
      </c>
      <c r="J38" s="12" t="s">
        <v>130</v>
      </c>
      <c r="K38" s="46" t="s">
        <v>130</v>
      </c>
      <c r="L38" s="68" t="str">
        <f t="shared" si="0"/>
        <v>Individu_40</v>
      </c>
      <c r="M38" s="70">
        <f t="shared" si="1"/>
        <v>23.260780287474333</v>
      </c>
      <c r="N38" s="70">
        <f>IF(M38&lt;='Pyramide des âges'!$C$6,1,IF(M38&lt;='Pyramide des âges'!$C$7,2,IF(M38&lt;='Pyramide des âges'!$C$8,3,IF(M38&lt;='Pyramide des âges'!$C$9,4,5))))</f>
        <v>1</v>
      </c>
      <c r="O38" s="68">
        <f t="shared" si="2"/>
        <v>3.5017111567419574</v>
      </c>
      <c r="Q38" s="14"/>
      <c r="R38" s="15"/>
      <c r="S38" s="15">
        <v>4</v>
      </c>
      <c r="T38" s="15" t="s">
        <v>97</v>
      </c>
      <c r="U38" s="16"/>
      <c r="X38" s="137"/>
      <c r="AB38" s="15"/>
      <c r="AC38" s="137"/>
      <c r="AD38" s="138"/>
    </row>
    <row r="39" spans="1:30" x14ac:dyDescent="0.25">
      <c r="A39" s="1"/>
      <c r="B39" s="45" t="s">
        <v>53</v>
      </c>
      <c r="C39" s="151" t="s">
        <v>8</v>
      </c>
      <c r="D39" s="153">
        <v>34633</v>
      </c>
      <c r="E39" s="153">
        <v>41334</v>
      </c>
      <c r="F39" s="53">
        <v>3</v>
      </c>
      <c r="G39" s="9">
        <v>50237</v>
      </c>
      <c r="H39" s="8">
        <v>2</v>
      </c>
      <c r="I39" s="10">
        <v>1</v>
      </c>
      <c r="J39" s="12" t="s">
        <v>130</v>
      </c>
      <c r="K39" s="46" t="s">
        <v>130</v>
      </c>
      <c r="L39" s="68" t="str">
        <f t="shared" ref="L39:L70" si="3">B39</f>
        <v>Individu_41</v>
      </c>
      <c r="M39" s="70">
        <f t="shared" ref="M39:M70" si="4">($I$4-D39)/365.25</f>
        <v>27.1813826146475</v>
      </c>
      <c r="N39" s="70">
        <f>IF(M39&lt;='Pyramide des âges'!$C$6,1,IF(M39&lt;='Pyramide des âges'!$C$7,2,IF(M39&lt;='Pyramide des âges'!$C$8,3,IF(M39&lt;='Pyramide des âges'!$C$9,4,5))))</f>
        <v>2</v>
      </c>
      <c r="O39" s="68">
        <f t="shared" ref="O39:O70" si="5">($I$4-E39)/365.25</f>
        <v>8.8350444900752905</v>
      </c>
      <c r="Q39" s="14"/>
      <c r="R39" s="15"/>
      <c r="S39" s="15">
        <v>5</v>
      </c>
      <c r="T39" s="15" t="s">
        <v>98</v>
      </c>
      <c r="U39" s="16"/>
      <c r="X39" s="137"/>
      <c r="AB39" s="15"/>
      <c r="AC39" s="137"/>
      <c r="AD39" s="138"/>
    </row>
    <row r="40" spans="1:30" x14ac:dyDescent="0.25">
      <c r="A40" s="1"/>
      <c r="B40" s="45" t="s">
        <v>55</v>
      </c>
      <c r="C40" s="151" t="s">
        <v>9</v>
      </c>
      <c r="D40" s="153">
        <v>28568</v>
      </c>
      <c r="E40" s="153">
        <v>36892</v>
      </c>
      <c r="F40" s="53">
        <v>4</v>
      </c>
      <c r="G40" s="9">
        <v>103749</v>
      </c>
      <c r="H40" s="8">
        <v>0</v>
      </c>
      <c r="I40" s="10">
        <v>1</v>
      </c>
      <c r="J40" s="12" t="s">
        <v>130</v>
      </c>
      <c r="K40" s="46" t="s">
        <v>130</v>
      </c>
      <c r="L40" s="68" t="str">
        <f t="shared" si="3"/>
        <v>Individu_43</v>
      </c>
      <c r="M40" s="70">
        <f t="shared" si="4"/>
        <v>43.786447638603697</v>
      </c>
      <c r="N40" s="70">
        <f>IF(M40&lt;='Pyramide des âges'!$C$6,1,IF(M40&lt;='Pyramide des âges'!$C$7,2,IF(M40&lt;='Pyramide des âges'!$C$8,3,IF(M40&lt;='Pyramide des âges'!$C$9,4,5))))</f>
        <v>4</v>
      </c>
      <c r="O40" s="68">
        <f t="shared" si="5"/>
        <v>20.996577686516083</v>
      </c>
      <c r="Q40" s="14"/>
      <c r="R40" s="15"/>
      <c r="S40" s="15">
        <v>6</v>
      </c>
      <c r="T40" s="15" t="s">
        <v>99</v>
      </c>
      <c r="U40" s="16"/>
      <c r="X40" s="137"/>
      <c r="AB40" s="15"/>
      <c r="AC40" s="137"/>
      <c r="AD40" s="138"/>
    </row>
    <row r="41" spans="1:30" x14ac:dyDescent="0.25">
      <c r="A41" s="1"/>
      <c r="B41" s="45" t="s">
        <v>56</v>
      </c>
      <c r="C41" s="151" t="s">
        <v>8</v>
      </c>
      <c r="D41" s="153">
        <v>29704</v>
      </c>
      <c r="E41" s="153">
        <v>42491</v>
      </c>
      <c r="F41" s="53">
        <v>1</v>
      </c>
      <c r="G41" s="9">
        <v>23826</v>
      </c>
      <c r="H41" s="8">
        <v>0</v>
      </c>
      <c r="I41" s="10">
        <v>0.8</v>
      </c>
      <c r="J41" s="12" t="s">
        <v>130</v>
      </c>
      <c r="K41" s="46" t="s">
        <v>130</v>
      </c>
      <c r="L41" s="68" t="str">
        <f t="shared" si="3"/>
        <v>Individu_44</v>
      </c>
      <c r="M41" s="70">
        <f t="shared" si="4"/>
        <v>40.676249144421632</v>
      </c>
      <c r="N41" s="70">
        <f>IF(M41&lt;='Pyramide des âges'!$C$6,1,IF(M41&lt;='Pyramide des âges'!$C$7,2,IF(M41&lt;='Pyramide des âges'!$C$8,3,IF(M41&lt;='Pyramide des âges'!$C$9,4,5))))</f>
        <v>3</v>
      </c>
      <c r="O41" s="68">
        <f t="shared" si="5"/>
        <v>5.6673511293634498</v>
      </c>
      <c r="Q41" s="14"/>
      <c r="R41" s="15"/>
      <c r="S41" s="15">
        <v>7</v>
      </c>
      <c r="T41" s="15" t="s">
        <v>100</v>
      </c>
      <c r="U41" s="16"/>
      <c r="X41" s="1"/>
    </row>
    <row r="42" spans="1:30" x14ac:dyDescent="0.25">
      <c r="A42" s="1"/>
      <c r="B42" s="45" t="s">
        <v>57</v>
      </c>
      <c r="C42" s="151" t="s">
        <v>8</v>
      </c>
      <c r="D42" s="153">
        <v>30563</v>
      </c>
      <c r="E42" s="153">
        <v>43435</v>
      </c>
      <c r="F42" s="53">
        <v>1</v>
      </c>
      <c r="G42" s="9">
        <v>27903</v>
      </c>
      <c r="H42" s="8">
        <v>0</v>
      </c>
      <c r="I42" s="10">
        <v>1</v>
      </c>
      <c r="J42" s="12" t="s">
        <v>130</v>
      </c>
      <c r="K42" s="46" t="s">
        <v>130</v>
      </c>
      <c r="L42" s="68" t="str">
        <f t="shared" si="3"/>
        <v>Individu_45</v>
      </c>
      <c r="M42" s="70">
        <f t="shared" si="4"/>
        <v>38.324435318275157</v>
      </c>
      <c r="N42" s="70">
        <f>IF(M42&lt;='Pyramide des âges'!$C$6,1,IF(M42&lt;='Pyramide des âges'!$C$7,2,IF(M42&lt;='Pyramide des âges'!$C$8,3,IF(M42&lt;='Pyramide des âges'!$C$9,4,5))))</f>
        <v>3</v>
      </c>
      <c r="O42" s="68">
        <f t="shared" si="5"/>
        <v>3.0828199863107462</v>
      </c>
      <c r="Q42" s="14"/>
      <c r="R42" s="15"/>
      <c r="S42" s="15"/>
      <c r="T42" s="15"/>
      <c r="U42" s="16"/>
      <c r="X42" s="1"/>
    </row>
    <row r="43" spans="1:30" ht="13" x14ac:dyDescent="0.3">
      <c r="A43" s="1"/>
      <c r="B43" s="45" t="s">
        <v>60</v>
      </c>
      <c r="C43" s="151" t="s">
        <v>8</v>
      </c>
      <c r="D43" s="153">
        <v>36173</v>
      </c>
      <c r="E43" s="153">
        <v>43617</v>
      </c>
      <c r="F43" s="53">
        <v>1</v>
      </c>
      <c r="G43" s="9">
        <v>27854</v>
      </c>
      <c r="H43" s="8">
        <v>26</v>
      </c>
      <c r="I43" s="10">
        <v>1</v>
      </c>
      <c r="J43" s="12" t="s">
        <v>130</v>
      </c>
      <c r="K43" s="46" t="s">
        <v>130</v>
      </c>
      <c r="L43" s="68" t="str">
        <f t="shared" si="3"/>
        <v>Individu_48</v>
      </c>
      <c r="M43" s="70">
        <f t="shared" si="4"/>
        <v>22.965092402464066</v>
      </c>
      <c r="N43" s="70">
        <f>IF(M43&lt;='Pyramide des âges'!$C$6,1,IF(M43&lt;='Pyramide des âges'!$C$7,2,IF(M43&lt;='Pyramide des âges'!$C$8,3,IF(M43&lt;='Pyramide des âges'!$C$9,4,5))))</f>
        <v>1</v>
      </c>
      <c r="O43" s="68">
        <f t="shared" si="5"/>
        <v>2.5845311430527036</v>
      </c>
      <c r="Q43" s="14"/>
      <c r="R43" s="23" t="s">
        <v>115</v>
      </c>
      <c r="S43" s="15"/>
      <c r="T43" s="15"/>
      <c r="U43" s="16"/>
      <c r="X43" s="1"/>
    </row>
    <row r="44" spans="1:30" x14ac:dyDescent="0.25">
      <c r="A44" s="1"/>
      <c r="B44" s="45" t="s">
        <v>61</v>
      </c>
      <c r="C44" s="151" t="s">
        <v>8</v>
      </c>
      <c r="D44" s="153">
        <v>32980</v>
      </c>
      <c r="E44" s="153">
        <v>41883</v>
      </c>
      <c r="F44" s="53">
        <v>3</v>
      </c>
      <c r="G44" s="9">
        <v>54312</v>
      </c>
      <c r="H44" s="8">
        <v>0</v>
      </c>
      <c r="I44" s="10">
        <v>1</v>
      </c>
      <c r="J44" s="12" t="s">
        <v>130</v>
      </c>
      <c r="K44" s="46" t="s">
        <v>130</v>
      </c>
      <c r="L44" s="68" t="str">
        <f t="shared" si="3"/>
        <v>Individu_49</v>
      </c>
      <c r="M44" s="70">
        <f t="shared" si="4"/>
        <v>31.707049965776864</v>
      </c>
      <c r="N44" s="70">
        <f>IF(M44&lt;='Pyramide des âges'!$C$6,1,IF(M44&lt;='Pyramide des âges'!$C$7,2,IF(M44&lt;='Pyramide des âges'!$C$8,3,IF(M44&lt;='Pyramide des âges'!$C$9,4,5))))</f>
        <v>2</v>
      </c>
      <c r="O44" s="68">
        <f t="shared" si="5"/>
        <v>7.3319644079397674</v>
      </c>
      <c r="Q44" s="14"/>
      <c r="R44" s="15"/>
      <c r="S44" s="15"/>
      <c r="T44" s="15"/>
      <c r="U44" s="16"/>
      <c r="X44" s="1"/>
    </row>
    <row r="45" spans="1:30" x14ac:dyDescent="0.25">
      <c r="A45" s="1"/>
      <c r="B45" s="45" t="s">
        <v>62</v>
      </c>
      <c r="C45" s="151" t="s">
        <v>9</v>
      </c>
      <c r="D45" s="153">
        <v>34560</v>
      </c>
      <c r="E45" s="153">
        <v>42156</v>
      </c>
      <c r="F45" s="53">
        <v>2</v>
      </c>
      <c r="G45" s="9">
        <v>44203</v>
      </c>
      <c r="H45" s="8">
        <v>1</v>
      </c>
      <c r="I45" s="10">
        <v>1</v>
      </c>
      <c r="J45" s="12" t="s">
        <v>130</v>
      </c>
      <c r="K45" s="46" t="s">
        <v>130</v>
      </c>
      <c r="L45" s="68" t="str">
        <f t="shared" si="3"/>
        <v>Individu_50</v>
      </c>
      <c r="M45" s="70">
        <f t="shared" si="4"/>
        <v>27.381245722108144</v>
      </c>
      <c r="N45" s="70">
        <f>IF(M45&lt;='Pyramide des âges'!$C$6,1,IF(M45&lt;='Pyramide des âges'!$C$7,2,IF(M45&lt;='Pyramide des âges'!$C$8,3,IF(M45&lt;='Pyramide des âges'!$C$9,4,5))))</f>
        <v>2</v>
      </c>
      <c r="O45" s="68">
        <f t="shared" si="5"/>
        <v>6.584531143052704</v>
      </c>
      <c r="Q45" s="14"/>
      <c r="R45" s="15" t="s">
        <v>114</v>
      </c>
      <c r="S45" s="15"/>
      <c r="T45" s="15"/>
      <c r="U45" s="16"/>
      <c r="X45" s="1"/>
    </row>
    <row r="46" spans="1:30" x14ac:dyDescent="0.25">
      <c r="A46" s="1"/>
      <c r="B46" s="45" t="s">
        <v>63</v>
      </c>
      <c r="C46" s="151" t="s">
        <v>8</v>
      </c>
      <c r="D46" s="153">
        <v>30981</v>
      </c>
      <c r="E46" s="153">
        <v>39661</v>
      </c>
      <c r="F46" s="53">
        <v>1</v>
      </c>
      <c r="G46" s="9">
        <v>27680</v>
      </c>
      <c r="H46" s="8">
        <v>0</v>
      </c>
      <c r="I46" s="10">
        <v>1</v>
      </c>
      <c r="J46" s="12" t="s">
        <v>130</v>
      </c>
      <c r="K46" s="46" t="s">
        <v>130</v>
      </c>
      <c r="L46" s="68" t="str">
        <f t="shared" si="3"/>
        <v>Individu_51</v>
      </c>
      <c r="M46" s="70">
        <f t="shared" si="4"/>
        <v>37.180013689253933</v>
      </c>
      <c r="N46" s="70">
        <f>IF(M46&lt;='Pyramide des âges'!$C$6,1,IF(M46&lt;='Pyramide des âges'!$C$7,2,IF(M46&lt;='Pyramide des âges'!$C$8,3,IF(M46&lt;='Pyramide des âges'!$C$9,4,5))))</f>
        <v>3</v>
      </c>
      <c r="O46" s="68">
        <f t="shared" si="5"/>
        <v>13.415468856947296</v>
      </c>
      <c r="Q46" s="14"/>
      <c r="R46" s="15"/>
      <c r="S46" s="15"/>
      <c r="T46" s="15"/>
      <c r="U46" s="16"/>
      <c r="X46" s="1"/>
    </row>
    <row r="47" spans="1:30" x14ac:dyDescent="0.25">
      <c r="A47" s="1"/>
      <c r="B47" s="45" t="s">
        <v>65</v>
      </c>
      <c r="C47" s="151" t="s">
        <v>9</v>
      </c>
      <c r="D47" s="153">
        <v>26400</v>
      </c>
      <c r="E47" s="153">
        <v>35186</v>
      </c>
      <c r="F47" s="53">
        <v>2</v>
      </c>
      <c r="G47" s="9">
        <v>29245</v>
      </c>
      <c r="H47" s="8">
        <v>1</v>
      </c>
      <c r="I47" s="10">
        <v>1</v>
      </c>
      <c r="J47" s="12" t="s">
        <v>130</v>
      </c>
      <c r="K47" s="46" t="s">
        <v>130</v>
      </c>
      <c r="L47" s="68" t="str">
        <f t="shared" si="3"/>
        <v>Individu_53</v>
      </c>
      <c r="M47" s="70">
        <f t="shared" si="4"/>
        <v>49.722108145106091</v>
      </c>
      <c r="N47" s="70">
        <f>IF(M47&lt;='Pyramide des âges'!$C$6,1,IF(M47&lt;='Pyramide des âges'!$C$7,2,IF(M47&lt;='Pyramide des âges'!$C$8,3,IF(M47&lt;='Pyramide des âges'!$C$9,4,5))))</f>
        <v>4</v>
      </c>
      <c r="O47" s="68">
        <f t="shared" si="5"/>
        <v>25.66735112936345</v>
      </c>
      <c r="Q47" s="18"/>
      <c r="R47" s="19"/>
      <c r="S47" s="19"/>
      <c r="T47" s="19"/>
      <c r="U47" s="20"/>
      <c r="X47" s="1"/>
    </row>
    <row r="48" spans="1:30" x14ac:dyDescent="0.25">
      <c r="A48" s="1"/>
      <c r="B48" s="45" t="s">
        <v>66</v>
      </c>
      <c r="C48" s="151" t="s">
        <v>8</v>
      </c>
      <c r="D48" s="153">
        <v>33776</v>
      </c>
      <c r="E48" s="153">
        <v>42887</v>
      </c>
      <c r="F48" s="53">
        <v>1</v>
      </c>
      <c r="G48" s="9">
        <v>29109</v>
      </c>
      <c r="H48" s="8">
        <v>1</v>
      </c>
      <c r="I48" s="10">
        <v>1</v>
      </c>
      <c r="J48" s="12" t="s">
        <v>130</v>
      </c>
      <c r="K48" s="46" t="s">
        <v>130</v>
      </c>
      <c r="L48" s="68" t="str">
        <f t="shared" si="3"/>
        <v>Individu_54</v>
      </c>
      <c r="M48" s="70">
        <f t="shared" si="4"/>
        <v>29.527720739219713</v>
      </c>
      <c r="N48" s="70">
        <f>IF(M48&lt;='Pyramide des âges'!$C$6,1,IF(M48&lt;='Pyramide des âges'!$C$7,2,IF(M48&lt;='Pyramide des âges'!$C$8,3,IF(M48&lt;='Pyramide des âges'!$C$9,4,5))))</f>
        <v>2</v>
      </c>
      <c r="O48" s="68">
        <f t="shared" si="5"/>
        <v>4.5831622176591376</v>
      </c>
      <c r="Q48" s="15"/>
      <c r="X48" s="1"/>
    </row>
    <row r="49" spans="1:30" x14ac:dyDescent="0.25">
      <c r="A49" s="1"/>
      <c r="B49" s="45" t="s">
        <v>67</v>
      </c>
      <c r="C49" s="151" t="s">
        <v>9</v>
      </c>
      <c r="D49" s="153">
        <v>28683</v>
      </c>
      <c r="E49" s="153">
        <v>41061</v>
      </c>
      <c r="F49" s="53">
        <v>2</v>
      </c>
      <c r="G49" s="9">
        <v>33352</v>
      </c>
      <c r="H49" s="8">
        <v>0</v>
      </c>
      <c r="I49" s="10">
        <v>1</v>
      </c>
      <c r="J49" s="12" t="s">
        <v>130</v>
      </c>
      <c r="K49" s="46" t="s">
        <v>130</v>
      </c>
      <c r="L49" s="68" t="str">
        <f t="shared" si="3"/>
        <v>Individu_55</v>
      </c>
      <c r="M49" s="70">
        <f t="shared" si="4"/>
        <v>43.471594798083501</v>
      </c>
      <c r="N49" s="70">
        <f>IF(M49&lt;='Pyramide des âges'!$C$6,1,IF(M49&lt;='Pyramide des âges'!$C$7,2,IF(M49&lt;='Pyramide des âges'!$C$8,3,IF(M49&lt;='Pyramide des âges'!$C$9,4,5))))</f>
        <v>4</v>
      </c>
      <c r="O49" s="68">
        <f t="shared" si="5"/>
        <v>9.5824777549623548</v>
      </c>
      <c r="X49" s="1"/>
    </row>
    <row r="50" spans="1:30" x14ac:dyDescent="0.25">
      <c r="A50" s="1"/>
      <c r="B50" s="45" t="s">
        <v>68</v>
      </c>
      <c r="C50" s="151" t="s">
        <v>9</v>
      </c>
      <c r="D50" s="153">
        <v>22267</v>
      </c>
      <c r="E50" s="153">
        <v>28915</v>
      </c>
      <c r="F50" s="53">
        <v>1</v>
      </c>
      <c r="G50" s="9">
        <v>29545</v>
      </c>
      <c r="H50" s="8">
        <v>110</v>
      </c>
      <c r="I50" s="10">
        <v>1</v>
      </c>
      <c r="J50" s="12" t="s">
        <v>130</v>
      </c>
      <c r="K50" s="46" t="s">
        <v>130</v>
      </c>
      <c r="L50" s="68" t="str">
        <f t="shared" si="3"/>
        <v>Individu_56</v>
      </c>
      <c r="M50" s="70">
        <f t="shared" si="4"/>
        <v>61.037645448323069</v>
      </c>
      <c r="N50" s="70">
        <f>IF(M50&lt;='Pyramide des âges'!$C$6,1,IF(M50&lt;='Pyramide des âges'!$C$7,2,IF(M50&lt;='Pyramide des âges'!$C$8,3,IF(M50&lt;='Pyramide des âges'!$C$9,4,5))))</f>
        <v>5</v>
      </c>
      <c r="O50" s="68">
        <f t="shared" si="5"/>
        <v>42.836413415468854</v>
      </c>
      <c r="X50" s="1"/>
    </row>
    <row r="51" spans="1:30" x14ac:dyDescent="0.25">
      <c r="A51" s="1"/>
      <c r="B51" s="45" t="s">
        <v>69</v>
      </c>
      <c r="C51" s="151" t="s">
        <v>9</v>
      </c>
      <c r="D51" s="153">
        <v>34807</v>
      </c>
      <c r="E51" s="153">
        <v>42156</v>
      </c>
      <c r="F51" s="53">
        <v>2</v>
      </c>
      <c r="G51" s="9">
        <v>33734</v>
      </c>
      <c r="H51" s="8">
        <v>0</v>
      </c>
      <c r="I51" s="10">
        <v>1</v>
      </c>
      <c r="J51" s="12" t="s">
        <v>130</v>
      </c>
      <c r="K51" s="46" t="s">
        <v>130</v>
      </c>
      <c r="L51" s="68" t="str">
        <f t="shared" si="3"/>
        <v>Individu_57</v>
      </c>
      <c r="M51" s="70">
        <f t="shared" si="4"/>
        <v>26.704996577686515</v>
      </c>
      <c r="N51" s="70">
        <f>IF(M51&lt;='Pyramide des âges'!$C$6,1,IF(M51&lt;='Pyramide des âges'!$C$7,2,IF(M51&lt;='Pyramide des âges'!$C$8,3,IF(M51&lt;='Pyramide des âges'!$C$9,4,5))))</f>
        <v>2</v>
      </c>
      <c r="O51" s="68">
        <f t="shared" si="5"/>
        <v>6.584531143052704</v>
      </c>
      <c r="X51" s="1"/>
    </row>
    <row r="52" spans="1:30" x14ac:dyDescent="0.25">
      <c r="A52" s="1"/>
      <c r="B52" s="45" t="s">
        <v>73</v>
      </c>
      <c r="C52" s="151" t="s">
        <v>8</v>
      </c>
      <c r="D52" s="153">
        <v>34165</v>
      </c>
      <c r="E52" s="153">
        <v>41974</v>
      </c>
      <c r="F52" s="53">
        <v>3</v>
      </c>
      <c r="G52" s="9">
        <v>53110</v>
      </c>
      <c r="H52" s="8">
        <v>0</v>
      </c>
      <c r="I52" s="10">
        <v>1</v>
      </c>
      <c r="J52" s="12" t="s">
        <v>130</v>
      </c>
      <c r="K52" s="46" t="s">
        <v>130</v>
      </c>
      <c r="L52" s="68" t="str">
        <f t="shared" si="3"/>
        <v>Individu_61</v>
      </c>
      <c r="M52" s="70">
        <f t="shared" si="4"/>
        <v>28.462696783025326</v>
      </c>
      <c r="N52" s="70">
        <f>IF(M52&lt;='Pyramide des âges'!$C$6,1,IF(M52&lt;='Pyramide des âges'!$C$7,2,IF(M52&lt;='Pyramide des âges'!$C$8,3,IF(M52&lt;='Pyramide des âges'!$C$9,4,5))))</f>
        <v>2</v>
      </c>
      <c r="O52" s="68">
        <f t="shared" si="5"/>
        <v>7.0828199863107457</v>
      </c>
      <c r="X52" s="1"/>
    </row>
    <row r="53" spans="1:30" x14ac:dyDescent="0.25">
      <c r="A53" s="1"/>
      <c r="B53" s="45" t="s">
        <v>74</v>
      </c>
      <c r="C53" s="151" t="s">
        <v>9</v>
      </c>
      <c r="D53" s="153">
        <v>35990</v>
      </c>
      <c r="E53" s="153">
        <v>43282</v>
      </c>
      <c r="F53" s="53">
        <v>3</v>
      </c>
      <c r="G53" s="9">
        <v>59173</v>
      </c>
      <c r="H53" s="8">
        <v>1</v>
      </c>
      <c r="I53" s="10">
        <v>1</v>
      </c>
      <c r="J53" s="12" t="s">
        <v>130</v>
      </c>
      <c r="K53" s="46" t="s">
        <v>130</v>
      </c>
      <c r="L53" s="68" t="str">
        <f t="shared" si="3"/>
        <v>Individu_62</v>
      </c>
      <c r="M53" s="70">
        <f t="shared" si="4"/>
        <v>23.466119096509239</v>
      </c>
      <c r="N53" s="70">
        <f>IF(M53&lt;='Pyramide des âges'!$C$6,1,IF(M53&lt;='Pyramide des âges'!$C$7,2,IF(M53&lt;='Pyramide des âges'!$C$8,3,IF(M53&lt;='Pyramide des âges'!$C$9,4,5))))</f>
        <v>1</v>
      </c>
      <c r="O53" s="68">
        <f t="shared" si="5"/>
        <v>3.5017111567419574</v>
      </c>
      <c r="X53" s="1"/>
    </row>
    <row r="54" spans="1:30" x14ac:dyDescent="0.25">
      <c r="A54" s="1"/>
      <c r="B54" s="45" t="s">
        <v>75</v>
      </c>
      <c r="C54" s="151" t="s">
        <v>8</v>
      </c>
      <c r="D54" s="153">
        <v>30364</v>
      </c>
      <c r="E54" s="153">
        <v>39052</v>
      </c>
      <c r="F54" s="53">
        <v>2</v>
      </c>
      <c r="G54" s="9">
        <v>27529</v>
      </c>
      <c r="H54" s="8">
        <v>0</v>
      </c>
      <c r="I54" s="10">
        <v>0.8</v>
      </c>
      <c r="J54" s="12" t="s">
        <v>130</v>
      </c>
      <c r="K54" s="46" t="s">
        <v>130</v>
      </c>
      <c r="L54" s="68" t="str">
        <f t="shared" si="3"/>
        <v>Individu_63</v>
      </c>
      <c r="M54" s="70">
        <f t="shared" si="4"/>
        <v>38.869267624914443</v>
      </c>
      <c r="N54" s="70">
        <f>IF(M54&lt;='Pyramide des âges'!$C$6,1,IF(M54&lt;='Pyramide des âges'!$C$7,2,IF(M54&lt;='Pyramide des âges'!$C$8,3,IF(M54&lt;='Pyramide des âges'!$C$9,4,5))))</f>
        <v>3</v>
      </c>
      <c r="O54" s="68">
        <f t="shared" si="5"/>
        <v>15.082819986310746</v>
      </c>
      <c r="X54" s="1"/>
      <c r="AC54" s="1"/>
      <c r="AD54" s="51"/>
    </row>
    <row r="55" spans="1:30" x14ac:dyDescent="0.25">
      <c r="A55" s="1"/>
      <c r="B55" s="45" t="s">
        <v>76</v>
      </c>
      <c r="C55" s="151" t="s">
        <v>8</v>
      </c>
      <c r="D55" s="153">
        <v>26990</v>
      </c>
      <c r="E55" s="153">
        <v>37257</v>
      </c>
      <c r="F55" s="53">
        <v>3</v>
      </c>
      <c r="G55" s="9">
        <v>35644</v>
      </c>
      <c r="H55" s="8">
        <v>12</v>
      </c>
      <c r="I55" s="10">
        <v>1</v>
      </c>
      <c r="J55" s="12" t="s">
        <v>130</v>
      </c>
      <c r="K55" s="46" t="s">
        <v>130</v>
      </c>
      <c r="L55" s="68" t="str">
        <f t="shared" si="3"/>
        <v>Individu_64</v>
      </c>
      <c r="M55" s="70">
        <f t="shared" si="4"/>
        <v>48.106776180698155</v>
      </c>
      <c r="N55" s="70">
        <f>IF(M55&lt;='Pyramide des âges'!$C$6,1,IF(M55&lt;='Pyramide des âges'!$C$7,2,IF(M55&lt;='Pyramide des âges'!$C$8,3,IF(M55&lt;='Pyramide des âges'!$C$9,4,5))))</f>
        <v>4</v>
      </c>
      <c r="O55" s="68">
        <f t="shared" si="5"/>
        <v>19.997262149212869</v>
      </c>
      <c r="X55" s="1"/>
      <c r="AC55" s="1"/>
      <c r="AD55" s="51"/>
    </row>
    <row r="56" spans="1:30" x14ac:dyDescent="0.25">
      <c r="A56" s="1"/>
      <c r="B56" s="45" t="s">
        <v>77</v>
      </c>
      <c r="C56" s="151" t="s">
        <v>9</v>
      </c>
      <c r="D56" s="153">
        <v>33567</v>
      </c>
      <c r="E56" s="153">
        <v>43466</v>
      </c>
      <c r="F56" s="53">
        <v>1</v>
      </c>
      <c r="G56" s="9">
        <v>28605</v>
      </c>
      <c r="H56" s="8">
        <v>3</v>
      </c>
      <c r="I56" s="10">
        <v>1</v>
      </c>
      <c r="J56" s="12" t="s">
        <v>130</v>
      </c>
      <c r="K56" s="46" t="s">
        <v>130</v>
      </c>
      <c r="L56" s="68" t="str">
        <f t="shared" si="3"/>
        <v>Individu_65</v>
      </c>
      <c r="M56" s="70">
        <f t="shared" si="4"/>
        <v>30.099931553730322</v>
      </c>
      <c r="N56" s="70">
        <f>IF(M56&lt;='Pyramide des âges'!$C$6,1,IF(M56&lt;='Pyramide des âges'!$C$7,2,IF(M56&lt;='Pyramide des âges'!$C$8,3,IF(M56&lt;='Pyramide des âges'!$C$9,4,5))))</f>
        <v>2</v>
      </c>
      <c r="O56" s="68">
        <f t="shared" si="5"/>
        <v>2.9979466119096507</v>
      </c>
      <c r="X56" s="1"/>
      <c r="AC56" s="1"/>
      <c r="AD56" s="51"/>
    </row>
    <row r="57" spans="1:30" ht="13" thickBot="1" x14ac:dyDescent="0.3">
      <c r="A57" s="1"/>
      <c r="B57" s="45" t="s">
        <v>78</v>
      </c>
      <c r="C57" s="151" t="s">
        <v>9</v>
      </c>
      <c r="D57" s="153">
        <v>23954</v>
      </c>
      <c r="E57" s="153">
        <v>32690</v>
      </c>
      <c r="F57" s="53">
        <v>3</v>
      </c>
      <c r="G57" s="9">
        <v>36555</v>
      </c>
      <c r="H57" s="8">
        <v>0</v>
      </c>
      <c r="I57" s="10">
        <v>1</v>
      </c>
      <c r="J57" s="12" t="s">
        <v>130</v>
      </c>
      <c r="K57" s="46" t="s">
        <v>130</v>
      </c>
      <c r="L57" s="68" t="str">
        <f t="shared" si="3"/>
        <v>Individu_66</v>
      </c>
      <c r="M57" s="70">
        <f t="shared" si="4"/>
        <v>56.418891170431209</v>
      </c>
      <c r="N57" s="70">
        <f>IF(M57&lt;='Pyramide des âges'!$C$6,1,IF(M57&lt;='Pyramide des âges'!$C$7,2,IF(M57&lt;='Pyramide des âges'!$C$8,3,IF(M57&lt;='Pyramide des âges'!$C$9,4,5))))</f>
        <v>5</v>
      </c>
      <c r="O57" s="68">
        <f t="shared" si="5"/>
        <v>32.501026694045173</v>
      </c>
      <c r="X57" s="1"/>
      <c r="AC57" s="1"/>
      <c r="AD57" s="51"/>
    </row>
    <row r="58" spans="1:30" ht="13" x14ac:dyDescent="0.3">
      <c r="A58" s="1"/>
      <c r="B58" s="45" t="s">
        <v>79</v>
      </c>
      <c r="C58" s="151" t="s">
        <v>8</v>
      </c>
      <c r="D58" s="153">
        <v>29830</v>
      </c>
      <c r="E58" s="153">
        <v>43313</v>
      </c>
      <c r="F58" s="53">
        <v>2</v>
      </c>
      <c r="G58" s="9">
        <v>19864</v>
      </c>
      <c r="H58" s="8">
        <v>26</v>
      </c>
      <c r="I58" s="10">
        <v>0.6</v>
      </c>
      <c r="J58" s="12" t="s">
        <v>130</v>
      </c>
      <c r="K58" s="46" t="s">
        <v>130</v>
      </c>
      <c r="L58" s="68" t="str">
        <f t="shared" si="3"/>
        <v>Individu_67</v>
      </c>
      <c r="M58" s="70">
        <f t="shared" si="4"/>
        <v>40.331279945242983</v>
      </c>
      <c r="N58" s="70">
        <f>IF(M58&lt;='Pyramide des âges'!$C$6,1,IF(M58&lt;='Pyramide des âges'!$C$7,2,IF(M58&lt;='Pyramide des âges'!$C$8,3,IF(M58&lt;='Pyramide des âges'!$C$9,4,5))))</f>
        <v>3</v>
      </c>
      <c r="O58" s="68">
        <f t="shared" si="5"/>
        <v>3.4168377823408624</v>
      </c>
      <c r="R58" s="29" t="s">
        <v>132</v>
      </c>
      <c r="S58" s="30"/>
      <c r="T58" s="31"/>
      <c r="X58" s="1"/>
      <c r="AC58" s="1"/>
      <c r="AD58" s="51"/>
    </row>
    <row r="59" spans="1:30" x14ac:dyDescent="0.25">
      <c r="A59" s="1"/>
      <c r="B59" s="45" t="s">
        <v>80</v>
      </c>
      <c r="C59" s="151" t="s">
        <v>9</v>
      </c>
      <c r="D59" s="153">
        <v>29062</v>
      </c>
      <c r="E59" s="153">
        <v>40360</v>
      </c>
      <c r="F59" s="53">
        <v>1</v>
      </c>
      <c r="G59" s="9">
        <v>27914</v>
      </c>
      <c r="H59" s="8">
        <v>0</v>
      </c>
      <c r="I59" s="10">
        <v>1</v>
      </c>
      <c r="J59" s="12" t="s">
        <v>130</v>
      </c>
      <c r="K59" s="46" t="s">
        <v>130</v>
      </c>
      <c r="L59" s="68" t="str">
        <f t="shared" si="3"/>
        <v>Individu_68</v>
      </c>
      <c r="M59" s="70">
        <f t="shared" si="4"/>
        <v>42.433949349760439</v>
      </c>
      <c r="N59" s="70">
        <f>IF(M59&lt;='Pyramide des âges'!$C$6,1,IF(M59&lt;='Pyramide des âges'!$C$7,2,IF(M59&lt;='Pyramide des âges'!$C$8,3,IF(M59&lt;='Pyramide des âges'!$C$9,4,5))))</f>
        <v>4</v>
      </c>
      <c r="O59" s="68">
        <f t="shared" si="5"/>
        <v>11.501711156741958</v>
      </c>
      <c r="R59" s="32"/>
      <c r="S59" s="33"/>
      <c r="T59" s="34"/>
      <c r="X59" s="1"/>
      <c r="AC59" s="1"/>
      <c r="AD59" s="51"/>
    </row>
    <row r="60" spans="1:30" x14ac:dyDescent="0.25">
      <c r="A60" s="1"/>
      <c r="B60" s="45" t="s">
        <v>81</v>
      </c>
      <c r="C60" s="151" t="s">
        <v>8</v>
      </c>
      <c r="D60" s="153">
        <v>24637</v>
      </c>
      <c r="E60" s="153">
        <v>34669</v>
      </c>
      <c r="F60" s="53">
        <v>1</v>
      </c>
      <c r="G60" s="9">
        <v>29146</v>
      </c>
      <c r="H60" s="8">
        <v>3</v>
      </c>
      <c r="I60" s="10">
        <v>0.8</v>
      </c>
      <c r="J60" s="12" t="s">
        <v>130</v>
      </c>
      <c r="K60" s="46" t="s">
        <v>130</v>
      </c>
      <c r="L60" s="68" t="str">
        <f t="shared" si="3"/>
        <v>Individu_69</v>
      </c>
      <c r="M60" s="70">
        <f t="shared" si="4"/>
        <v>54.548939082819984</v>
      </c>
      <c r="N60" s="70">
        <f>IF(M60&lt;='Pyramide des âges'!$C$6,1,IF(M60&lt;='Pyramide des âges'!$C$7,2,IF(M60&lt;='Pyramide des âges'!$C$8,3,IF(M60&lt;='Pyramide des âges'!$C$9,4,5))))</f>
        <v>4</v>
      </c>
      <c r="O60" s="68">
        <f t="shared" si="5"/>
        <v>27.082819986310746</v>
      </c>
      <c r="R60" s="37" t="s">
        <v>137</v>
      </c>
      <c r="S60" s="33"/>
      <c r="T60" s="34"/>
      <c r="X60" s="1"/>
      <c r="AC60" s="1"/>
      <c r="AD60" s="51"/>
    </row>
    <row r="61" spans="1:30" x14ac:dyDescent="0.25">
      <c r="A61" s="1"/>
      <c r="B61" s="45" t="s">
        <v>82</v>
      </c>
      <c r="C61" s="151" t="s">
        <v>8</v>
      </c>
      <c r="D61" s="153">
        <v>35300</v>
      </c>
      <c r="E61" s="153">
        <v>44440</v>
      </c>
      <c r="F61" s="53">
        <v>3</v>
      </c>
      <c r="G61" s="9">
        <v>55420</v>
      </c>
      <c r="H61" s="8">
        <v>0</v>
      </c>
      <c r="I61" s="10">
        <v>1</v>
      </c>
      <c r="J61" s="12" t="s">
        <v>130</v>
      </c>
      <c r="K61" s="46" t="s">
        <v>130</v>
      </c>
      <c r="L61" s="68" t="str">
        <f t="shared" si="3"/>
        <v>Individu_70</v>
      </c>
      <c r="M61" s="70">
        <f t="shared" si="4"/>
        <v>25.355236139630389</v>
      </c>
      <c r="N61" s="70">
        <f>IF(M61&lt;='Pyramide des âges'!$C$6,1,IF(M61&lt;='Pyramide des âges'!$C$7,2,IF(M61&lt;='Pyramide des âges'!$C$8,3,IF(M61&lt;='Pyramide des âges'!$C$9,4,5))))</f>
        <v>1</v>
      </c>
      <c r="O61" s="68">
        <f t="shared" si="5"/>
        <v>0.33127994524298426</v>
      </c>
      <c r="R61" s="32" t="s">
        <v>133</v>
      </c>
      <c r="S61" s="33"/>
      <c r="T61" s="34"/>
      <c r="X61" s="1"/>
      <c r="AC61" s="1"/>
      <c r="AD61" s="51"/>
    </row>
    <row r="62" spans="1:30" x14ac:dyDescent="0.25">
      <c r="A62" s="1"/>
      <c r="B62" s="45" t="s">
        <v>83</v>
      </c>
      <c r="C62" s="151" t="s">
        <v>8</v>
      </c>
      <c r="D62" s="153">
        <v>24118</v>
      </c>
      <c r="E62" s="153">
        <v>33178</v>
      </c>
      <c r="F62" s="53">
        <v>1</v>
      </c>
      <c r="G62" s="9">
        <v>33306</v>
      </c>
      <c r="H62" s="8">
        <v>1</v>
      </c>
      <c r="I62" s="10">
        <v>1</v>
      </c>
      <c r="J62" s="12" t="s">
        <v>130</v>
      </c>
      <c r="K62" s="46" t="s">
        <v>130</v>
      </c>
      <c r="L62" s="68" t="str">
        <f t="shared" si="3"/>
        <v>Individu_71</v>
      </c>
      <c r="M62" s="70">
        <f t="shared" si="4"/>
        <v>55.969883641341546</v>
      </c>
      <c r="N62" s="70">
        <f>IF(M62&lt;='Pyramide des âges'!$C$6,1,IF(M62&lt;='Pyramide des âges'!$C$7,2,IF(M62&lt;='Pyramide des âges'!$C$8,3,IF(M62&lt;='Pyramide des âges'!$C$9,4,5))))</f>
        <v>4</v>
      </c>
      <c r="O62" s="68">
        <f t="shared" si="5"/>
        <v>31.16495550992471</v>
      </c>
      <c r="R62" s="32" t="s">
        <v>134</v>
      </c>
      <c r="S62" s="33"/>
      <c r="T62" s="34"/>
      <c r="X62" s="1"/>
      <c r="AC62" s="1"/>
      <c r="AD62" s="51"/>
    </row>
    <row r="63" spans="1:30" ht="13" thickBot="1" x14ac:dyDescent="0.3">
      <c r="A63" s="1"/>
      <c r="B63" s="45" t="s">
        <v>84</v>
      </c>
      <c r="C63" s="151" t="s">
        <v>9</v>
      </c>
      <c r="D63" s="153">
        <v>31558</v>
      </c>
      <c r="E63" s="153">
        <v>41579</v>
      </c>
      <c r="F63" s="53">
        <v>3</v>
      </c>
      <c r="G63" s="9">
        <v>52441</v>
      </c>
      <c r="H63" s="8">
        <v>0</v>
      </c>
      <c r="I63" s="10">
        <v>1</v>
      </c>
      <c r="J63" s="12" t="s">
        <v>130</v>
      </c>
      <c r="K63" s="46" t="s">
        <v>130</v>
      </c>
      <c r="L63" s="68" t="str">
        <f t="shared" si="3"/>
        <v>Individu_72</v>
      </c>
      <c r="M63" s="70">
        <f t="shared" si="4"/>
        <v>35.600273785078713</v>
      </c>
      <c r="N63" s="70">
        <f>IF(M63&lt;='Pyramide des âges'!$C$6,1,IF(M63&lt;='Pyramide des âges'!$C$7,2,IF(M63&lt;='Pyramide des âges'!$C$8,3,IF(M63&lt;='Pyramide des âges'!$C$9,4,5))))</f>
        <v>2</v>
      </c>
      <c r="O63" s="68">
        <f t="shared" si="5"/>
        <v>8.1642710472279258</v>
      </c>
      <c r="R63" s="38" t="s">
        <v>138</v>
      </c>
      <c r="S63" s="35"/>
      <c r="T63" s="36"/>
      <c r="X63" s="1"/>
      <c r="AC63" s="1"/>
      <c r="AD63" s="51"/>
    </row>
    <row r="64" spans="1:30" x14ac:dyDescent="0.25">
      <c r="A64" s="1"/>
      <c r="B64" s="45" t="s">
        <v>85</v>
      </c>
      <c r="C64" s="151" t="s">
        <v>8</v>
      </c>
      <c r="D64" s="153">
        <v>32161</v>
      </c>
      <c r="E64" s="153">
        <v>41699</v>
      </c>
      <c r="F64" s="53">
        <v>4</v>
      </c>
      <c r="G64" s="9">
        <v>153446</v>
      </c>
      <c r="H64" s="8">
        <v>0</v>
      </c>
      <c r="I64" s="10">
        <v>1</v>
      </c>
      <c r="J64" s="12" t="s">
        <v>130</v>
      </c>
      <c r="K64" s="46" t="s">
        <v>130</v>
      </c>
      <c r="L64" s="68" t="str">
        <f t="shared" si="3"/>
        <v>Individu_73</v>
      </c>
      <c r="M64" s="70">
        <f t="shared" si="4"/>
        <v>33.949349760438054</v>
      </c>
      <c r="N64" s="70">
        <f>IF(M64&lt;='Pyramide des âges'!$C$6,1,IF(M64&lt;='Pyramide des âges'!$C$7,2,IF(M64&lt;='Pyramide des âges'!$C$8,3,IF(M64&lt;='Pyramide des âges'!$C$9,4,5))))</f>
        <v>2</v>
      </c>
      <c r="O64" s="68">
        <f t="shared" si="5"/>
        <v>7.8357289527720742</v>
      </c>
      <c r="X64" s="1"/>
      <c r="AC64" s="1"/>
      <c r="AD64" s="51"/>
    </row>
    <row r="65" spans="1:31" ht="13" thickBot="1" x14ac:dyDescent="0.3">
      <c r="A65" s="1"/>
      <c r="B65" s="45" t="s">
        <v>86</v>
      </c>
      <c r="C65" s="151" t="s">
        <v>9</v>
      </c>
      <c r="D65" s="153">
        <v>24080</v>
      </c>
      <c r="E65" s="153">
        <v>30348</v>
      </c>
      <c r="F65" s="53">
        <v>1</v>
      </c>
      <c r="G65" s="9">
        <v>32704</v>
      </c>
      <c r="H65" s="8">
        <v>0</v>
      </c>
      <c r="I65" s="10">
        <v>1</v>
      </c>
      <c r="J65" s="12" t="s">
        <v>130</v>
      </c>
      <c r="K65" s="46" t="s">
        <v>130</v>
      </c>
      <c r="L65" s="68" t="str">
        <f t="shared" si="3"/>
        <v>Individu_74</v>
      </c>
      <c r="M65" s="70">
        <f t="shared" si="4"/>
        <v>56.073921971252567</v>
      </c>
      <c r="N65" s="70">
        <f>IF(M65&lt;='Pyramide des âges'!$C$6,1,IF(M65&lt;='Pyramide des âges'!$C$7,2,IF(M65&lt;='Pyramide des âges'!$C$8,3,IF(M65&lt;='Pyramide des âges'!$C$9,4,5))))</f>
        <v>5</v>
      </c>
      <c r="O65" s="68">
        <f t="shared" si="5"/>
        <v>38.913073237508556</v>
      </c>
      <c r="AC65" s="1"/>
      <c r="AD65" s="51"/>
    </row>
    <row r="66" spans="1:31" ht="14" x14ac:dyDescent="0.3">
      <c r="A66" s="1"/>
      <c r="B66" s="45" t="s">
        <v>87</v>
      </c>
      <c r="C66" s="151" t="s">
        <v>9</v>
      </c>
      <c r="D66" s="153">
        <v>28834</v>
      </c>
      <c r="E66" s="153">
        <v>37561</v>
      </c>
      <c r="F66" s="53">
        <v>2</v>
      </c>
      <c r="G66" s="9">
        <v>28774</v>
      </c>
      <c r="H66" s="8">
        <v>0</v>
      </c>
      <c r="I66" s="10">
        <v>1</v>
      </c>
      <c r="J66" s="12" t="s">
        <v>130</v>
      </c>
      <c r="K66" s="46" t="s">
        <v>130</v>
      </c>
      <c r="L66" s="68" t="str">
        <f t="shared" si="3"/>
        <v>Individu_75</v>
      </c>
      <c r="M66" s="70">
        <f t="shared" si="4"/>
        <v>43.058179329226554</v>
      </c>
      <c r="N66" s="70">
        <f>IF(M66&lt;='Pyramide des âges'!$C$6,1,IF(M66&lt;='Pyramide des âges'!$C$7,2,IF(M66&lt;='Pyramide des âges'!$C$8,3,IF(M66&lt;='Pyramide des âges'!$C$9,4,5))))</f>
        <v>4</v>
      </c>
      <c r="O66" s="68">
        <f t="shared" si="5"/>
        <v>19.16495550992471</v>
      </c>
      <c r="R66" s="165" t="s">
        <v>139</v>
      </c>
      <c r="S66" s="166"/>
      <c r="T66" s="166"/>
      <c r="U66" s="166"/>
      <c r="V66" s="166"/>
      <c r="W66" s="166"/>
      <c r="X66" s="166"/>
      <c r="Y66" s="167"/>
      <c r="AC66" s="1"/>
      <c r="AD66" s="51"/>
    </row>
    <row r="67" spans="1:31" x14ac:dyDescent="0.25">
      <c r="A67" s="1"/>
      <c r="B67" s="45" t="s">
        <v>88</v>
      </c>
      <c r="C67" s="151" t="s">
        <v>9</v>
      </c>
      <c r="D67" s="153">
        <v>31423</v>
      </c>
      <c r="E67" s="153">
        <v>38626</v>
      </c>
      <c r="F67" s="53">
        <v>2</v>
      </c>
      <c r="G67" s="9">
        <v>23432</v>
      </c>
      <c r="H67" s="8">
        <v>4</v>
      </c>
      <c r="I67" s="10">
        <v>0.7</v>
      </c>
      <c r="J67" s="12" t="s">
        <v>130</v>
      </c>
      <c r="K67" s="46" t="s">
        <v>130</v>
      </c>
      <c r="L67" s="68" t="str">
        <f t="shared" si="3"/>
        <v>Individu_76</v>
      </c>
      <c r="M67" s="70">
        <f t="shared" si="4"/>
        <v>35.969883641341546</v>
      </c>
      <c r="N67" s="70">
        <f>IF(M67&lt;='Pyramide des âges'!$C$6,1,IF(M67&lt;='Pyramide des âges'!$C$7,2,IF(M67&lt;='Pyramide des âges'!$C$8,3,IF(M67&lt;='Pyramide des âges'!$C$9,4,5))))</f>
        <v>2</v>
      </c>
      <c r="O67" s="68">
        <f t="shared" si="5"/>
        <v>16.249144421629023</v>
      </c>
      <c r="R67" s="71" t="s">
        <v>140</v>
      </c>
      <c r="S67" s="72"/>
      <c r="T67" s="72"/>
      <c r="U67" s="73">
        <f>(SUM(I7:I70))</f>
        <v>60.699999999999996</v>
      </c>
      <c r="V67" s="72"/>
      <c r="W67" s="72"/>
      <c r="X67" s="72"/>
      <c r="Y67" s="74"/>
      <c r="AC67" s="1"/>
      <c r="AD67" s="51"/>
    </row>
    <row r="68" spans="1:31" x14ac:dyDescent="0.25">
      <c r="A68" s="1"/>
      <c r="B68" s="45" t="s">
        <v>90</v>
      </c>
      <c r="C68" s="151" t="s">
        <v>8</v>
      </c>
      <c r="D68" s="153">
        <v>29591</v>
      </c>
      <c r="E68" s="153">
        <v>44440</v>
      </c>
      <c r="F68" s="53">
        <v>2</v>
      </c>
      <c r="G68" s="9">
        <v>36340</v>
      </c>
      <c r="H68" s="8">
        <v>0</v>
      </c>
      <c r="I68" s="10">
        <v>1</v>
      </c>
      <c r="J68" s="12" t="s">
        <v>130</v>
      </c>
      <c r="K68" s="46" t="s">
        <v>130</v>
      </c>
      <c r="L68" s="68" t="str">
        <f t="shared" si="3"/>
        <v>Individu_78</v>
      </c>
      <c r="M68" s="70">
        <f t="shared" si="4"/>
        <v>40.985626283367559</v>
      </c>
      <c r="N68" s="70">
        <f>IF(M68&lt;='Pyramide des âges'!$C$6,1,IF(M68&lt;='Pyramide des âges'!$C$7,2,IF(M68&lt;='Pyramide des âges'!$C$8,3,IF(M68&lt;='Pyramide des âges'!$C$9,4,5))))</f>
        <v>3</v>
      </c>
      <c r="O68" s="68">
        <f t="shared" si="5"/>
        <v>0.33127994524298426</v>
      </c>
      <c r="R68" s="75"/>
      <c r="S68" s="76"/>
      <c r="T68" s="76"/>
      <c r="U68" s="76"/>
      <c r="V68" s="76"/>
      <c r="W68" s="76"/>
      <c r="X68" s="76"/>
      <c r="Y68" s="77"/>
      <c r="AC68" s="1"/>
      <c r="AD68" s="51"/>
    </row>
    <row r="69" spans="1:31" x14ac:dyDescent="0.25">
      <c r="A69" s="1"/>
      <c r="B69" s="45" t="s">
        <v>91</v>
      </c>
      <c r="C69" s="151" t="s">
        <v>8</v>
      </c>
      <c r="D69" s="153">
        <v>33218</v>
      </c>
      <c r="E69" s="153">
        <v>41000</v>
      </c>
      <c r="F69" s="53">
        <v>1</v>
      </c>
      <c r="G69" s="9">
        <v>28309</v>
      </c>
      <c r="H69" s="8">
        <v>0</v>
      </c>
      <c r="I69" s="10">
        <v>1</v>
      </c>
      <c r="J69" s="12" t="s">
        <v>130</v>
      </c>
      <c r="K69" s="46" t="s">
        <v>130</v>
      </c>
      <c r="L69" s="68" t="str">
        <f t="shared" si="3"/>
        <v>Individu_79</v>
      </c>
      <c r="M69" s="70">
        <f t="shared" si="4"/>
        <v>31.055441478439427</v>
      </c>
      <c r="N69" s="70">
        <f>IF(M69&lt;='Pyramide des âges'!$C$6,1,IF(M69&lt;='Pyramide des âges'!$C$7,2,IF(M69&lt;='Pyramide des âges'!$C$8,3,IF(M69&lt;='Pyramide des âges'!$C$9,4,5))))</f>
        <v>2</v>
      </c>
      <c r="O69" s="68">
        <f t="shared" si="5"/>
        <v>9.7494866529774136</v>
      </c>
      <c r="R69" s="75" t="s">
        <v>141</v>
      </c>
      <c r="S69" s="76"/>
      <c r="T69" s="76"/>
      <c r="U69" s="76" t="str">
        <f>VLOOKUP(MAX(D7:D86),D7:L70,9,FALSE)</f>
        <v>Individu_48</v>
      </c>
      <c r="V69" s="76"/>
      <c r="W69" s="76"/>
      <c r="X69" s="76"/>
      <c r="Y69" s="77"/>
      <c r="AC69" s="1"/>
      <c r="AD69" s="51"/>
      <c r="AE69" s="51"/>
    </row>
    <row r="70" spans="1:31" x14ac:dyDescent="0.25">
      <c r="A70" s="1"/>
      <c r="B70" s="45" t="s">
        <v>92</v>
      </c>
      <c r="C70" s="151" t="s">
        <v>9</v>
      </c>
      <c r="D70" s="153">
        <v>33872</v>
      </c>
      <c r="E70" s="153">
        <v>42583</v>
      </c>
      <c r="F70" s="53">
        <v>1</v>
      </c>
      <c r="G70" s="9">
        <v>29519</v>
      </c>
      <c r="H70" s="8">
        <v>1</v>
      </c>
      <c r="I70" s="10">
        <v>1</v>
      </c>
      <c r="J70" s="12" t="s">
        <v>130</v>
      </c>
      <c r="K70" s="46" t="s">
        <v>130</v>
      </c>
      <c r="L70" s="68" t="str">
        <f t="shared" si="3"/>
        <v>Individu_80</v>
      </c>
      <c r="M70" s="70">
        <f t="shared" si="4"/>
        <v>29.264887063655031</v>
      </c>
      <c r="N70" s="70">
        <f>IF(M70&lt;='Pyramide des âges'!$C$6,1,IF(M70&lt;='Pyramide des âges'!$C$7,2,IF(M70&lt;='Pyramide des âges'!$C$8,3,IF(M70&lt;='Pyramide des âges'!$C$9,4,5))))</f>
        <v>2</v>
      </c>
      <c r="O70" s="68">
        <f t="shared" si="5"/>
        <v>5.415468856947296</v>
      </c>
      <c r="R70" s="75"/>
      <c r="S70" s="76"/>
      <c r="T70" s="76"/>
      <c r="U70" s="76"/>
      <c r="V70" s="76"/>
      <c r="W70" s="76"/>
      <c r="X70" s="76"/>
      <c r="Y70" s="77"/>
      <c r="AC70" s="1"/>
      <c r="AD70" s="51"/>
      <c r="AE70" s="51"/>
    </row>
    <row r="71" spans="1:31" x14ac:dyDescent="0.25">
      <c r="A71" s="1"/>
      <c r="B71" s="45" t="s">
        <v>13</v>
      </c>
      <c r="C71" s="151" t="s">
        <v>9</v>
      </c>
      <c r="D71" s="153">
        <v>32611</v>
      </c>
      <c r="E71" s="153">
        <v>44409</v>
      </c>
      <c r="F71" s="53">
        <v>1</v>
      </c>
      <c r="G71" s="9">
        <v>9580</v>
      </c>
      <c r="H71" s="9">
        <v>0</v>
      </c>
      <c r="I71" s="10">
        <v>1</v>
      </c>
      <c r="J71" s="12">
        <v>44469</v>
      </c>
      <c r="K71" s="46">
        <v>2</v>
      </c>
      <c r="L71" s="68" t="str">
        <f t="shared" ref="L71" si="6">B71</f>
        <v>Individu_04</v>
      </c>
      <c r="M71" s="68"/>
      <c r="N71" s="68"/>
      <c r="O71" s="68"/>
      <c r="R71" s="75" t="s">
        <v>142</v>
      </c>
      <c r="S71" s="76"/>
      <c r="T71" s="76"/>
      <c r="U71" s="76" t="str">
        <f>VLOOKUP(MIN(E7:E86),E7:L70,8,FALSE)</f>
        <v>Individu_56</v>
      </c>
      <c r="V71" s="76"/>
      <c r="W71" s="76"/>
      <c r="X71" s="76"/>
      <c r="Y71" s="77"/>
      <c r="AC71" s="1"/>
      <c r="AD71" s="51"/>
      <c r="AE71" s="51"/>
    </row>
    <row r="72" spans="1:31" x14ac:dyDescent="0.25">
      <c r="A72" s="1"/>
      <c r="B72" s="45" t="s">
        <v>89</v>
      </c>
      <c r="C72" s="151" t="s">
        <v>8</v>
      </c>
      <c r="D72" s="153">
        <v>32727</v>
      </c>
      <c r="E72" s="153">
        <v>43647</v>
      </c>
      <c r="F72" s="53">
        <v>1</v>
      </c>
      <c r="G72" s="9">
        <v>4375</v>
      </c>
      <c r="H72" s="8">
        <v>0</v>
      </c>
      <c r="I72" s="10">
        <v>1</v>
      </c>
      <c r="J72" s="12">
        <v>44439</v>
      </c>
      <c r="K72" s="46">
        <v>5</v>
      </c>
      <c r="L72" s="68" t="str">
        <f t="shared" ref="L72:L86" si="7">B72</f>
        <v>Individu_77</v>
      </c>
      <c r="M72" s="68"/>
      <c r="N72" s="68"/>
      <c r="O72" s="68"/>
      <c r="R72" s="75"/>
      <c r="S72" s="76"/>
      <c r="T72" s="76"/>
      <c r="U72" s="76"/>
      <c r="V72" s="76"/>
      <c r="W72" s="76"/>
      <c r="X72" s="76"/>
      <c r="Y72" s="77"/>
      <c r="AC72" s="1"/>
      <c r="AD72" s="51"/>
      <c r="AE72" s="51"/>
    </row>
    <row r="73" spans="1:31" x14ac:dyDescent="0.25">
      <c r="A73" s="1"/>
      <c r="B73" s="45" t="s">
        <v>39</v>
      </c>
      <c r="C73" s="151" t="s">
        <v>9</v>
      </c>
      <c r="D73" s="153">
        <v>31369</v>
      </c>
      <c r="E73" s="153">
        <v>38626</v>
      </c>
      <c r="F73" s="53">
        <v>1</v>
      </c>
      <c r="G73" s="9">
        <v>17995</v>
      </c>
      <c r="H73" s="9">
        <v>0</v>
      </c>
      <c r="I73" s="10">
        <v>1</v>
      </c>
      <c r="J73" s="12">
        <v>44439</v>
      </c>
      <c r="K73" s="46">
        <v>5</v>
      </c>
      <c r="L73" s="68" t="str">
        <f t="shared" si="7"/>
        <v>Individu_30</v>
      </c>
      <c r="M73" s="68"/>
      <c r="N73" s="68"/>
      <c r="O73" s="68"/>
      <c r="R73" s="75" t="s">
        <v>143</v>
      </c>
      <c r="S73" s="76"/>
      <c r="T73" s="76"/>
      <c r="U73" s="78">
        <f>SUM(G7:G86)</f>
        <v>2704693</v>
      </c>
      <c r="V73" s="76"/>
      <c r="W73" s="76"/>
      <c r="X73" s="76"/>
      <c r="Y73" s="77"/>
      <c r="AC73" s="1"/>
      <c r="AD73" s="51"/>
      <c r="AE73" s="51"/>
    </row>
    <row r="74" spans="1:31" x14ac:dyDescent="0.25">
      <c r="A74" s="1"/>
      <c r="B74" s="45" t="s">
        <v>23</v>
      </c>
      <c r="C74" s="151" t="s">
        <v>8</v>
      </c>
      <c r="D74" s="153">
        <v>22719</v>
      </c>
      <c r="E74" s="153">
        <v>30864</v>
      </c>
      <c r="F74" s="53">
        <v>3</v>
      </c>
      <c r="G74" s="9">
        <v>35087</v>
      </c>
      <c r="H74" s="9">
        <v>1</v>
      </c>
      <c r="I74" s="10">
        <v>1</v>
      </c>
      <c r="J74" s="12">
        <v>44439</v>
      </c>
      <c r="K74" s="46">
        <v>3</v>
      </c>
      <c r="L74" s="68" t="str">
        <f t="shared" si="7"/>
        <v>Individu_14</v>
      </c>
      <c r="M74" s="68"/>
      <c r="N74" s="68"/>
      <c r="O74" s="68"/>
      <c r="R74" s="75"/>
      <c r="S74" s="76"/>
      <c r="T74" s="76"/>
      <c r="U74" s="76"/>
      <c r="V74" s="76"/>
      <c r="W74" s="76"/>
      <c r="X74" s="76"/>
      <c r="Y74" s="77"/>
      <c r="AC74" s="1"/>
      <c r="AD74" s="51"/>
      <c r="AE74" s="51"/>
    </row>
    <row r="75" spans="1:31" ht="13" thickBot="1" x14ac:dyDescent="0.3">
      <c r="A75" s="1"/>
      <c r="B75" s="45" t="s">
        <v>72</v>
      </c>
      <c r="C75" s="151" t="s">
        <v>8</v>
      </c>
      <c r="D75" s="153">
        <v>33652</v>
      </c>
      <c r="E75" s="153">
        <v>44317</v>
      </c>
      <c r="F75" s="53">
        <v>1</v>
      </c>
      <c r="G75" s="9">
        <v>14024</v>
      </c>
      <c r="H75" s="8">
        <v>0</v>
      </c>
      <c r="I75" s="10">
        <v>1</v>
      </c>
      <c r="J75" s="12">
        <v>44408</v>
      </c>
      <c r="K75" s="46">
        <v>5</v>
      </c>
      <c r="L75" s="68" t="str">
        <f t="shared" si="7"/>
        <v>Individu_60</v>
      </c>
      <c r="M75" s="68"/>
      <c r="N75" s="68"/>
      <c r="O75" s="68"/>
      <c r="R75" s="79"/>
      <c r="S75" s="80"/>
      <c r="T75" s="80"/>
      <c r="U75" s="80"/>
      <c r="V75" s="80"/>
      <c r="W75" s="80"/>
      <c r="X75" s="80"/>
      <c r="Y75" s="81"/>
      <c r="AC75" s="1"/>
      <c r="AD75" s="51"/>
      <c r="AE75" s="51"/>
    </row>
    <row r="76" spans="1:31" x14ac:dyDescent="0.25">
      <c r="A76" s="1"/>
      <c r="B76" s="45" t="s">
        <v>58</v>
      </c>
      <c r="C76" s="151" t="s">
        <v>9</v>
      </c>
      <c r="D76" s="153">
        <v>25628</v>
      </c>
      <c r="E76" s="153">
        <v>36039</v>
      </c>
      <c r="F76" s="53">
        <v>1</v>
      </c>
      <c r="G76" s="9">
        <v>17113</v>
      </c>
      <c r="H76" s="8">
        <v>12</v>
      </c>
      <c r="I76" s="10">
        <v>0.6</v>
      </c>
      <c r="J76" s="12">
        <v>44408</v>
      </c>
      <c r="K76" s="46">
        <v>2</v>
      </c>
      <c r="L76" s="68" t="str">
        <f t="shared" si="7"/>
        <v>Individu_46</v>
      </c>
      <c r="M76" s="68"/>
      <c r="N76" s="68"/>
      <c r="O76" s="68"/>
      <c r="AC76" s="1"/>
      <c r="AD76" s="51"/>
      <c r="AE76" s="51"/>
    </row>
    <row r="77" spans="1:31" x14ac:dyDescent="0.25">
      <c r="A77" s="1"/>
      <c r="B77" s="45" t="s">
        <v>48</v>
      </c>
      <c r="C77" s="151" t="s">
        <v>9</v>
      </c>
      <c r="D77" s="153">
        <v>35855</v>
      </c>
      <c r="E77" s="153">
        <v>43282</v>
      </c>
      <c r="F77" s="53">
        <v>1</v>
      </c>
      <c r="G77" s="9">
        <v>9931</v>
      </c>
      <c r="H77" s="9">
        <v>1</v>
      </c>
      <c r="I77" s="10">
        <v>0.5</v>
      </c>
      <c r="J77" s="12">
        <v>44408</v>
      </c>
      <c r="K77" s="46">
        <v>2</v>
      </c>
      <c r="L77" s="68" t="str">
        <f t="shared" si="7"/>
        <v>Individu_39</v>
      </c>
      <c r="M77" s="68"/>
      <c r="N77" s="68"/>
      <c r="O77" s="68"/>
      <c r="AC77" s="1"/>
      <c r="AD77" s="51"/>
      <c r="AE77" s="51"/>
    </row>
    <row r="78" spans="1:31" x14ac:dyDescent="0.25">
      <c r="A78" s="1"/>
      <c r="B78" s="45" t="s">
        <v>17</v>
      </c>
      <c r="C78" s="151" t="s">
        <v>9</v>
      </c>
      <c r="D78" s="153">
        <v>22146</v>
      </c>
      <c r="E78" s="153">
        <v>28915</v>
      </c>
      <c r="F78" s="53">
        <v>3</v>
      </c>
      <c r="G78" s="9">
        <v>20739</v>
      </c>
      <c r="H78" s="9">
        <v>0</v>
      </c>
      <c r="I78" s="10">
        <v>0.7</v>
      </c>
      <c r="J78" s="12">
        <v>44408</v>
      </c>
      <c r="K78" s="46">
        <v>3</v>
      </c>
      <c r="L78" s="68" t="str">
        <f t="shared" si="7"/>
        <v>Individu_08</v>
      </c>
      <c r="M78" s="68"/>
      <c r="N78" s="68"/>
      <c r="O78" s="68"/>
      <c r="AC78" s="1"/>
      <c r="AD78" s="51"/>
      <c r="AE78" s="51"/>
    </row>
    <row r="79" spans="1:31" x14ac:dyDescent="0.25">
      <c r="A79" s="1"/>
      <c r="B79" s="45" t="s">
        <v>59</v>
      </c>
      <c r="C79" s="151" t="s">
        <v>8</v>
      </c>
      <c r="D79" s="153">
        <v>28536</v>
      </c>
      <c r="E79" s="153">
        <v>37653</v>
      </c>
      <c r="F79" s="53">
        <v>1</v>
      </c>
      <c r="G79" s="9">
        <v>17131</v>
      </c>
      <c r="H79" s="8">
        <v>2</v>
      </c>
      <c r="I79" s="10">
        <v>1</v>
      </c>
      <c r="J79" s="12">
        <v>44377</v>
      </c>
      <c r="K79" s="46">
        <v>1</v>
      </c>
      <c r="L79" s="68" t="str">
        <f t="shared" si="7"/>
        <v>Individu_47</v>
      </c>
      <c r="M79" s="68"/>
      <c r="N79" s="68"/>
      <c r="O79" s="68"/>
      <c r="AC79" s="1"/>
      <c r="AD79" s="51"/>
      <c r="AE79" s="51"/>
    </row>
    <row r="80" spans="1:31" x14ac:dyDescent="0.25">
      <c r="A80" s="1"/>
      <c r="B80" s="45" t="s">
        <v>44</v>
      </c>
      <c r="C80" s="151" t="s">
        <v>8</v>
      </c>
      <c r="D80" s="153">
        <v>33519</v>
      </c>
      <c r="E80" s="153">
        <v>43556</v>
      </c>
      <c r="F80" s="53">
        <v>2</v>
      </c>
      <c r="G80" s="9">
        <v>7714</v>
      </c>
      <c r="H80" s="9">
        <v>0</v>
      </c>
      <c r="I80" s="10">
        <v>1</v>
      </c>
      <c r="J80" s="12">
        <v>44377</v>
      </c>
      <c r="K80" s="46">
        <v>2</v>
      </c>
      <c r="L80" s="68" t="str">
        <f t="shared" si="7"/>
        <v>Individu_35</v>
      </c>
      <c r="M80" s="68"/>
      <c r="N80" s="68"/>
      <c r="O80" s="68"/>
      <c r="AC80" s="1"/>
      <c r="AD80" s="51"/>
      <c r="AE80" s="51"/>
    </row>
    <row r="81" spans="1:31" x14ac:dyDescent="0.25">
      <c r="A81" s="1"/>
      <c r="B81" s="45" t="s">
        <v>70</v>
      </c>
      <c r="C81" s="151" t="s">
        <v>9</v>
      </c>
      <c r="D81" s="153">
        <v>29896</v>
      </c>
      <c r="E81" s="153">
        <v>38108</v>
      </c>
      <c r="F81" s="53">
        <v>1</v>
      </c>
      <c r="G81" s="9">
        <v>12460</v>
      </c>
      <c r="H81" s="8">
        <v>5</v>
      </c>
      <c r="I81" s="10">
        <v>1</v>
      </c>
      <c r="J81" s="12">
        <v>44347</v>
      </c>
      <c r="K81" s="46">
        <v>5</v>
      </c>
      <c r="L81" s="68" t="str">
        <f t="shared" si="7"/>
        <v>Individu_58</v>
      </c>
      <c r="M81" s="68"/>
      <c r="N81" s="68"/>
      <c r="O81" s="68"/>
      <c r="AC81" s="1"/>
      <c r="AD81" s="51"/>
      <c r="AE81" s="51"/>
    </row>
    <row r="82" spans="1:31" x14ac:dyDescent="0.25">
      <c r="A82" s="1"/>
      <c r="B82" s="45" t="s">
        <v>54</v>
      </c>
      <c r="C82" s="151" t="s">
        <v>8</v>
      </c>
      <c r="D82" s="153">
        <v>22819</v>
      </c>
      <c r="E82" s="153">
        <v>30864</v>
      </c>
      <c r="F82" s="53">
        <v>2</v>
      </c>
      <c r="G82" s="9">
        <v>17563</v>
      </c>
      <c r="H82" s="8">
        <v>12</v>
      </c>
      <c r="I82" s="10">
        <v>1</v>
      </c>
      <c r="J82" s="12">
        <v>44347</v>
      </c>
      <c r="K82" s="46">
        <v>2</v>
      </c>
      <c r="L82" s="68" t="str">
        <f t="shared" si="7"/>
        <v>Individu_42</v>
      </c>
      <c r="M82" s="68"/>
      <c r="N82" s="68"/>
      <c r="O82" s="68"/>
      <c r="AC82" s="1"/>
      <c r="AD82" s="51"/>
      <c r="AE82" s="51"/>
    </row>
    <row r="83" spans="1:31" x14ac:dyDescent="0.25">
      <c r="A83" s="1"/>
      <c r="B83" s="45" t="s">
        <v>26</v>
      </c>
      <c r="C83" s="151" t="s">
        <v>9</v>
      </c>
      <c r="D83" s="153">
        <v>24003</v>
      </c>
      <c r="E83" s="153">
        <v>33178</v>
      </c>
      <c r="F83" s="53">
        <v>2</v>
      </c>
      <c r="G83" s="9">
        <v>20141</v>
      </c>
      <c r="H83" s="9">
        <v>0</v>
      </c>
      <c r="I83" s="10">
        <v>1</v>
      </c>
      <c r="J83" s="12">
        <v>44347</v>
      </c>
      <c r="K83" s="46">
        <v>1</v>
      </c>
      <c r="L83" s="68" t="str">
        <f t="shared" si="7"/>
        <v>Individu_17</v>
      </c>
      <c r="M83" s="68"/>
      <c r="N83" s="68"/>
      <c r="O83" s="68"/>
      <c r="AC83" s="1"/>
      <c r="AD83" s="51"/>
      <c r="AE83" s="51"/>
    </row>
    <row r="84" spans="1:31" x14ac:dyDescent="0.25">
      <c r="A84" s="1"/>
      <c r="B84" s="45" t="s">
        <v>71</v>
      </c>
      <c r="C84" s="151" t="s">
        <v>9</v>
      </c>
      <c r="D84" s="153">
        <v>25438</v>
      </c>
      <c r="E84" s="153">
        <v>32721</v>
      </c>
      <c r="F84" s="53">
        <v>2</v>
      </c>
      <c r="G84" s="9">
        <v>13110</v>
      </c>
      <c r="H84" s="8">
        <v>90</v>
      </c>
      <c r="I84" s="10">
        <v>0.5</v>
      </c>
      <c r="J84" s="12">
        <v>44316</v>
      </c>
      <c r="K84" s="46">
        <v>2</v>
      </c>
      <c r="L84" s="68" t="str">
        <f t="shared" si="7"/>
        <v>Individu_59</v>
      </c>
      <c r="M84" s="68"/>
      <c r="N84" s="68"/>
      <c r="O84" s="68"/>
      <c r="AC84" s="1"/>
      <c r="AD84" s="51"/>
      <c r="AE84" s="51"/>
    </row>
    <row r="85" spans="1:31" x14ac:dyDescent="0.25">
      <c r="A85" s="1"/>
      <c r="B85" s="45" t="s">
        <v>64</v>
      </c>
      <c r="C85" s="151" t="s">
        <v>9</v>
      </c>
      <c r="D85" s="153">
        <v>31781</v>
      </c>
      <c r="E85" s="153">
        <v>38657</v>
      </c>
      <c r="F85" s="53">
        <v>1</v>
      </c>
      <c r="G85" s="9">
        <v>11539</v>
      </c>
      <c r="H85" s="8">
        <v>7</v>
      </c>
      <c r="I85" s="10">
        <v>1</v>
      </c>
      <c r="J85" s="12">
        <v>44316</v>
      </c>
      <c r="K85" s="46">
        <v>7</v>
      </c>
      <c r="L85" s="68" t="str">
        <f t="shared" si="7"/>
        <v>Individu_52</v>
      </c>
      <c r="M85" s="68"/>
      <c r="N85" s="68"/>
      <c r="O85" s="68"/>
      <c r="AC85" s="1"/>
      <c r="AD85" s="51"/>
      <c r="AE85" s="51"/>
    </row>
    <row r="86" spans="1:31" ht="13" thickBot="1" x14ac:dyDescent="0.3">
      <c r="A86" s="1"/>
      <c r="B86" s="47" t="s">
        <v>35</v>
      </c>
      <c r="C86" s="152" t="s">
        <v>8</v>
      </c>
      <c r="D86" s="153">
        <v>29779</v>
      </c>
      <c r="E86" s="155">
        <v>43647</v>
      </c>
      <c r="F86" s="54">
        <v>2</v>
      </c>
      <c r="G86" s="66">
        <v>14360</v>
      </c>
      <c r="H86" s="66">
        <v>0</v>
      </c>
      <c r="I86" s="49">
        <v>1</v>
      </c>
      <c r="J86" s="48">
        <v>44316</v>
      </c>
      <c r="K86" s="50">
        <v>5</v>
      </c>
      <c r="L86" s="68" t="str">
        <f t="shared" si="7"/>
        <v>Individu_26</v>
      </c>
      <c r="M86" s="68"/>
      <c r="N86" s="68"/>
      <c r="O86" s="68"/>
      <c r="AC86" s="1"/>
      <c r="AD86" s="51"/>
      <c r="AE86" s="51"/>
    </row>
    <row r="87" spans="1:31" x14ac:dyDescent="0.25">
      <c r="D87" s="182"/>
    </row>
    <row r="88" spans="1:31" x14ac:dyDescent="0.25">
      <c r="F88"/>
      <c r="H88"/>
    </row>
    <row r="89" spans="1:31" x14ac:dyDescent="0.25">
      <c r="F89"/>
      <c r="H89"/>
      <c r="I89" s="64"/>
    </row>
    <row r="90" spans="1:31" x14ac:dyDescent="0.25">
      <c r="F90"/>
      <c r="H90"/>
      <c r="I90" s="65"/>
    </row>
    <row r="91" spans="1:31" x14ac:dyDescent="0.25">
      <c r="F91"/>
      <c r="H91"/>
    </row>
    <row r="92" spans="1:31" x14ac:dyDescent="0.25">
      <c r="F92"/>
      <c r="H92"/>
    </row>
    <row r="93" spans="1:31" x14ac:dyDescent="0.25">
      <c r="F93"/>
      <c r="H93"/>
    </row>
    <row r="94" spans="1:31" x14ac:dyDescent="0.25">
      <c r="F94"/>
      <c r="H94"/>
    </row>
    <row r="95" spans="1:31" x14ac:dyDescent="0.25">
      <c r="F95"/>
      <c r="H95"/>
    </row>
    <row r="96" spans="1:31" x14ac:dyDescent="0.25">
      <c r="F96"/>
      <c r="H96"/>
    </row>
    <row r="97" spans="3:8" x14ac:dyDescent="0.25">
      <c r="F97"/>
      <c r="H97"/>
    </row>
    <row r="98" spans="3:8" x14ac:dyDescent="0.25">
      <c r="C98"/>
      <c r="D98" s="3"/>
      <c r="E98" s="3"/>
      <c r="F98"/>
      <c r="H98"/>
    </row>
    <row r="99" spans="3:8" x14ac:dyDescent="0.25">
      <c r="C99"/>
      <c r="D99" s="3"/>
    </row>
    <row r="100" spans="3:8" x14ac:dyDescent="0.25">
      <c r="C100"/>
      <c r="D100" s="3"/>
    </row>
    <row r="101" spans="3:8" x14ac:dyDescent="0.25">
      <c r="C101"/>
      <c r="D101" s="3"/>
    </row>
    <row r="102" spans="3:8" x14ac:dyDescent="0.25">
      <c r="C102"/>
      <c r="D102" s="3"/>
    </row>
    <row r="103" spans="3:8" x14ac:dyDescent="0.25">
      <c r="C103"/>
      <c r="D103" s="3"/>
    </row>
    <row r="104" spans="3:8" x14ac:dyDescent="0.25">
      <c r="C104"/>
      <c r="D104" s="3"/>
    </row>
    <row r="105" spans="3:8" x14ac:dyDescent="0.25">
      <c r="C105"/>
      <c r="D105" s="3"/>
    </row>
    <row r="106" spans="3:8" x14ac:dyDescent="0.25">
      <c r="C106"/>
      <c r="D106" s="3"/>
    </row>
    <row r="107" spans="3:8" x14ac:dyDescent="0.25">
      <c r="C107"/>
      <c r="D107" s="3"/>
    </row>
  </sheetData>
  <autoFilter ref="B6:O86" xr:uid="{56C1B284-C404-4C7E-BBAA-C13FEFF633C9}"/>
  <sortState ref="B7:O70">
    <sortCondition ref="B7:B70"/>
  </sortState>
  <mergeCells count="4">
    <mergeCell ref="R66:Y66"/>
    <mergeCell ref="G4:H4"/>
    <mergeCell ref="Q4:U4"/>
    <mergeCell ref="X3:AC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AF45-E4CF-407B-9B48-DFD13D97CE39}">
  <dimension ref="B1:T26"/>
  <sheetViews>
    <sheetView zoomScale="90" zoomScaleNormal="90" workbookViewId="0">
      <selection activeCell="A18" sqref="A18"/>
    </sheetView>
  </sheetViews>
  <sheetFormatPr baseColWidth="10" defaultRowHeight="12.5" x14ac:dyDescent="0.25"/>
  <cols>
    <col min="1" max="1" width="3.7265625" customWidth="1"/>
    <col min="2" max="2" width="20.36328125" customWidth="1"/>
    <col min="3" max="19" width="7.6328125" customWidth="1"/>
    <col min="20" max="20" width="14.1796875" customWidth="1"/>
  </cols>
  <sheetData>
    <row r="1" spans="2:20" ht="13" thickBot="1" x14ac:dyDescent="0.3"/>
    <row r="2" spans="2:20" ht="12.5" customHeight="1" x14ac:dyDescent="0.25">
      <c r="B2" s="176" t="s">
        <v>197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2:20" ht="13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6" spans="2:20" x14ac:dyDescent="0.25">
      <c r="B6" s="90" t="s">
        <v>170</v>
      </c>
      <c r="C6" s="90" t="s">
        <v>150</v>
      </c>
    </row>
    <row r="7" spans="2:20" x14ac:dyDescent="0.25">
      <c r="B7" s="90" t="s">
        <v>144</v>
      </c>
      <c r="C7">
        <v>0</v>
      </c>
      <c r="D7" t="s">
        <v>176</v>
      </c>
      <c r="E7" t="s">
        <v>177</v>
      </c>
      <c r="F7" t="s">
        <v>178</v>
      </c>
      <c r="G7" t="s">
        <v>179</v>
      </c>
      <c r="H7" t="s">
        <v>180</v>
      </c>
      <c r="I7" t="s">
        <v>181</v>
      </c>
      <c r="J7" t="s">
        <v>182</v>
      </c>
      <c r="K7" t="s">
        <v>183</v>
      </c>
      <c r="L7" t="s">
        <v>184</v>
      </c>
      <c r="M7" t="s">
        <v>185</v>
      </c>
      <c r="N7" t="s">
        <v>186</v>
      </c>
      <c r="O7" t="s">
        <v>187</v>
      </c>
      <c r="P7" t="s">
        <v>188</v>
      </c>
      <c r="Q7" t="s">
        <v>189</v>
      </c>
      <c r="R7" t="s">
        <v>190</v>
      </c>
      <c r="S7" t="s">
        <v>191</v>
      </c>
      <c r="T7" s="129" t="s">
        <v>145</v>
      </c>
    </row>
    <row r="8" spans="2:20" x14ac:dyDescent="0.25">
      <c r="B8" s="91" t="s">
        <v>9</v>
      </c>
      <c r="C8" s="92">
        <v>16</v>
      </c>
      <c r="D8" s="92">
        <v>4</v>
      </c>
      <c r="E8" s="92">
        <v>1</v>
      </c>
      <c r="F8" s="92">
        <v>1</v>
      </c>
      <c r="G8" s="92">
        <v>1</v>
      </c>
      <c r="H8" s="92"/>
      <c r="I8" s="92"/>
      <c r="J8" s="92">
        <v>1</v>
      </c>
      <c r="K8" s="92">
        <v>1</v>
      </c>
      <c r="L8" s="92"/>
      <c r="M8" s="92">
        <v>1</v>
      </c>
      <c r="N8" s="92"/>
      <c r="O8" s="92">
        <v>1</v>
      </c>
      <c r="P8" s="92"/>
      <c r="Q8" s="92">
        <v>1</v>
      </c>
      <c r="R8" s="92"/>
      <c r="S8" s="92">
        <v>1</v>
      </c>
      <c r="T8" s="92">
        <v>29</v>
      </c>
    </row>
    <row r="9" spans="2:20" x14ac:dyDescent="0.25">
      <c r="B9" s="91" t="s">
        <v>8</v>
      </c>
      <c r="C9" s="92">
        <v>16</v>
      </c>
      <c r="D9" s="92">
        <v>5</v>
      </c>
      <c r="E9" s="92">
        <v>3</v>
      </c>
      <c r="F9" s="92">
        <v>2</v>
      </c>
      <c r="G9" s="92">
        <v>1</v>
      </c>
      <c r="H9" s="92">
        <v>1</v>
      </c>
      <c r="I9" s="92">
        <v>1</v>
      </c>
      <c r="J9" s="92">
        <v>1</v>
      </c>
      <c r="K9" s="92"/>
      <c r="L9" s="92">
        <v>1</v>
      </c>
      <c r="M9" s="92"/>
      <c r="N9" s="92">
        <v>1</v>
      </c>
      <c r="O9" s="92"/>
      <c r="P9" s="92">
        <v>2</v>
      </c>
      <c r="Q9" s="92"/>
      <c r="R9" s="92">
        <v>1</v>
      </c>
      <c r="S9" s="92"/>
      <c r="T9" s="92">
        <v>35</v>
      </c>
    </row>
    <row r="10" spans="2:20" x14ac:dyDescent="0.25">
      <c r="B10" s="91" t="s">
        <v>145</v>
      </c>
      <c r="C10" s="92">
        <v>32</v>
      </c>
      <c r="D10" s="92">
        <v>9</v>
      </c>
      <c r="E10" s="92">
        <v>4</v>
      </c>
      <c r="F10" s="92">
        <v>3</v>
      </c>
      <c r="G10" s="92">
        <v>2</v>
      </c>
      <c r="H10" s="92">
        <v>1</v>
      </c>
      <c r="I10" s="92">
        <v>1</v>
      </c>
      <c r="J10" s="92">
        <v>2</v>
      </c>
      <c r="K10" s="92">
        <v>1</v>
      </c>
      <c r="L10" s="92">
        <v>1</v>
      </c>
      <c r="M10" s="92">
        <v>1</v>
      </c>
      <c r="N10" s="92">
        <v>1</v>
      </c>
      <c r="O10" s="92">
        <v>1</v>
      </c>
      <c r="P10" s="92">
        <v>2</v>
      </c>
      <c r="Q10" s="92">
        <v>1</v>
      </c>
      <c r="R10" s="92">
        <v>1</v>
      </c>
      <c r="S10" s="92">
        <v>1</v>
      </c>
      <c r="T10" s="92">
        <v>64</v>
      </c>
    </row>
    <row r="16" spans="2:20" x14ac:dyDescent="0.25">
      <c r="N16" s="145"/>
      <c r="O16" s="145"/>
      <c r="P16" s="145"/>
      <c r="Q16" s="145"/>
      <c r="R16" s="145"/>
      <c r="S16" s="145"/>
      <c r="T16" s="145"/>
    </row>
    <row r="17" spans="14:20" x14ac:dyDescent="0.25">
      <c r="N17" s="145"/>
      <c r="O17" s="145"/>
      <c r="P17" s="145"/>
      <c r="Q17" s="145"/>
      <c r="R17" s="145"/>
      <c r="S17" s="145"/>
      <c r="T17" s="145"/>
    </row>
    <row r="18" spans="14:20" x14ac:dyDescent="0.25">
      <c r="N18" s="145"/>
      <c r="O18" s="145"/>
      <c r="P18" s="145"/>
      <c r="Q18" s="145"/>
      <c r="R18" s="145"/>
      <c r="S18" s="145"/>
      <c r="T18" s="145"/>
    </row>
    <row r="19" spans="14:20" x14ac:dyDescent="0.25">
      <c r="N19" s="145"/>
      <c r="O19" s="145"/>
      <c r="P19" s="145"/>
      <c r="Q19" s="145"/>
      <c r="R19" s="145"/>
      <c r="S19" s="145"/>
      <c r="T19" s="145"/>
    </row>
    <row r="20" spans="14:20" x14ac:dyDescent="0.25">
      <c r="N20" s="145"/>
      <c r="O20" s="145"/>
      <c r="P20" s="145"/>
      <c r="Q20" s="145"/>
      <c r="R20" s="145"/>
      <c r="S20" s="145"/>
      <c r="T20" s="145"/>
    </row>
    <row r="21" spans="14:20" x14ac:dyDescent="0.25">
      <c r="N21" s="145"/>
      <c r="O21" s="145"/>
      <c r="P21" s="145"/>
      <c r="Q21" s="145"/>
      <c r="R21" s="145"/>
      <c r="S21" s="145"/>
      <c r="T21" s="145"/>
    </row>
    <row r="22" spans="14:20" x14ac:dyDescent="0.25">
      <c r="N22" s="145"/>
      <c r="O22" s="145"/>
      <c r="P22" s="145"/>
      <c r="Q22" s="145"/>
      <c r="R22" s="145"/>
      <c r="S22" s="145"/>
      <c r="T22" s="145"/>
    </row>
    <row r="23" spans="14:20" x14ac:dyDescent="0.25">
      <c r="N23" s="145"/>
      <c r="O23" s="145"/>
      <c r="P23" s="145"/>
      <c r="Q23" s="145"/>
      <c r="R23" s="145"/>
      <c r="S23" s="145"/>
      <c r="T23" s="145"/>
    </row>
    <row r="24" spans="14:20" x14ac:dyDescent="0.25">
      <c r="N24" s="145"/>
      <c r="O24" s="145"/>
      <c r="P24" s="145"/>
      <c r="Q24" s="145"/>
      <c r="R24" s="145"/>
      <c r="S24" s="145"/>
      <c r="T24" s="145"/>
    </row>
    <row r="25" spans="14:20" x14ac:dyDescent="0.25">
      <c r="N25" s="145"/>
      <c r="O25" s="145"/>
      <c r="P25" s="145"/>
      <c r="Q25" s="145"/>
      <c r="R25" s="145"/>
      <c r="S25" s="145"/>
      <c r="T25" s="145"/>
    </row>
    <row r="26" spans="14:20" x14ac:dyDescent="0.25">
      <c r="N26" s="145"/>
      <c r="O26" s="145"/>
      <c r="P26" s="145"/>
      <c r="Q26" s="145"/>
      <c r="R26" s="145"/>
      <c r="S26" s="145"/>
      <c r="T26" s="145"/>
    </row>
  </sheetData>
  <mergeCells count="1">
    <mergeCell ref="B2:T3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93D6-A522-411F-B54C-03BD6AC0844C}">
  <dimension ref="B1:N70"/>
  <sheetViews>
    <sheetView topLeftCell="A7" workbookViewId="0">
      <selection activeCell="G17" sqref="G17"/>
    </sheetView>
  </sheetViews>
  <sheetFormatPr baseColWidth="10" defaultRowHeight="12.5" x14ac:dyDescent="0.25"/>
  <cols>
    <col min="1" max="1" width="5.54296875" customWidth="1"/>
    <col min="2" max="2" width="20.1796875" bestFit="1" customWidth="1"/>
    <col min="3" max="3" width="22.90625" style="3" bestFit="1" customWidth="1"/>
    <col min="4" max="4" width="8.6328125" customWidth="1"/>
    <col min="5" max="5" width="9.36328125" customWidth="1"/>
    <col min="6" max="6" width="9.7265625" customWidth="1"/>
    <col min="7" max="7" width="12.08984375" bestFit="1" customWidth="1"/>
    <col min="8" max="8" width="23.90625" customWidth="1"/>
  </cols>
  <sheetData>
    <row r="1" spans="2:14" ht="13" thickBot="1" x14ac:dyDescent="0.3"/>
    <row r="2" spans="2:14" x14ac:dyDescent="0.25">
      <c r="B2" s="176" t="s">
        <v>207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2:14" ht="13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5" spans="2:14" ht="13" x14ac:dyDescent="0.3">
      <c r="B5" s="157" t="s">
        <v>7</v>
      </c>
      <c r="C5" s="160" t="s">
        <v>201</v>
      </c>
    </row>
    <row r="6" spans="2:14" x14ac:dyDescent="0.25">
      <c r="B6" s="159">
        <v>16844</v>
      </c>
      <c r="C6" s="161">
        <v>1</v>
      </c>
      <c r="G6" s="108"/>
      <c r="H6" s="109"/>
      <c r="I6" s="108">
        <v>1</v>
      </c>
      <c r="J6" s="108">
        <v>2</v>
      </c>
      <c r="K6" s="108">
        <v>3</v>
      </c>
      <c r="L6" s="108">
        <v>4</v>
      </c>
      <c r="M6" s="108">
        <v>5</v>
      </c>
      <c r="N6" s="156"/>
    </row>
    <row r="7" spans="2:14" ht="13" x14ac:dyDescent="0.3">
      <c r="B7" s="159">
        <v>19864</v>
      </c>
      <c r="C7" s="161">
        <v>1</v>
      </c>
      <c r="G7" s="110">
        <v>30000</v>
      </c>
      <c r="H7" s="112" t="s">
        <v>202</v>
      </c>
      <c r="I7" s="113">
        <f>COUNTIFS($C$6:$C$69,"1",$B$6:$B$69,"&lt;30000")</f>
        <v>37</v>
      </c>
      <c r="J7" s="113">
        <f>COUNTIFS($C$6:$C$69,"2",$B$6:$B$69,"&lt;30000")</f>
        <v>0</v>
      </c>
      <c r="K7" s="113">
        <f>COUNTIFS($C$6:$C$69,"3",$B$6:$B$69,"&lt;30000")</f>
        <v>0</v>
      </c>
      <c r="L7" s="113">
        <f>COUNTIFS($C$6:$C$69,"4",$B$6:$B$69,"&lt;30000")</f>
        <v>0</v>
      </c>
      <c r="M7" s="113">
        <f>COUNTIFS($C$6:$C$69,"5",$B$6:$B$69,"&lt;30000")</f>
        <v>0</v>
      </c>
    </row>
    <row r="8" spans="2:14" ht="13" x14ac:dyDescent="0.3">
      <c r="B8" s="159">
        <v>20234</v>
      </c>
      <c r="C8" s="161">
        <v>1</v>
      </c>
      <c r="G8" s="110">
        <v>45000</v>
      </c>
      <c r="H8" s="112" t="s">
        <v>203</v>
      </c>
      <c r="I8" s="113">
        <f>COUNTIFS($C$6:$C$69,"1",$B$6:$B$69,"&gt;=30000",$B$6:$B$69,"&lt;=45000")</f>
        <v>0</v>
      </c>
      <c r="J8" s="113">
        <f>COUNTIFS($C$6:$C$69,"2",$B$6:$B$69,"&gt;=30000",$B$6:$B$69,"&lt;=45000")</f>
        <v>12</v>
      </c>
      <c r="K8" s="113">
        <f>COUNTIFS($C$6:$C$69,"3",$B$6:$B$69,"&gt;=30000",$B$6:$B$69,"&lt;=45000")</f>
        <v>0</v>
      </c>
      <c r="L8" s="113">
        <f>COUNTIFS($C$6:$C$69,"4",$B$6:$B$69,"&gt;=30000",$B$6:$B$69,"&lt;=45000")</f>
        <v>0</v>
      </c>
      <c r="M8" s="113">
        <f>COUNTIFS($C$6:$C$69,"5",$B$6:$B$69,"&gt;=30000",$B$6:$B$69,"&lt;=45000")</f>
        <v>0</v>
      </c>
    </row>
    <row r="9" spans="2:14" ht="13" x14ac:dyDescent="0.3">
      <c r="B9" s="159">
        <v>20523</v>
      </c>
      <c r="C9" s="161">
        <v>1</v>
      </c>
      <c r="G9" s="110">
        <v>60000</v>
      </c>
      <c r="H9" s="112" t="s">
        <v>204</v>
      </c>
      <c r="I9" s="113">
        <f>COUNTIFS($C$6:$C$69,"1",$B$6:$B$69,"&gt;=45000",$B$6:$B$69,"&lt;=60000")</f>
        <v>0</v>
      </c>
      <c r="J9" s="113">
        <f>COUNTIFS($C$6:$C$69,"2",$B$6:$B$69,"&gt;=45000",$B$6:$B$69,"&lt;=60000")</f>
        <v>0</v>
      </c>
      <c r="K9" s="113">
        <f>COUNTIFS($C$6:$C$69,"3",$B$6:$B$69,"&gt;=45000",$B$6:$B$69,"&lt;=60000")</f>
        <v>11</v>
      </c>
      <c r="L9" s="113">
        <f>COUNTIFS($C$6:$C$69,"4",$B$6:$B$69,"&gt;=45000",$B$6:$B$69,"&lt;=60000")</f>
        <v>0</v>
      </c>
      <c r="M9" s="113">
        <f>COUNTIFS($C$6:$C$69,"5",$B$6:$B$69,"&gt;=45000",$B$6:$B$69,"&lt;=60000")</f>
        <v>0</v>
      </c>
    </row>
    <row r="10" spans="2:14" ht="13" x14ac:dyDescent="0.3">
      <c r="B10" s="159">
        <v>21906</v>
      </c>
      <c r="C10" s="161">
        <v>1</v>
      </c>
      <c r="G10" s="110">
        <v>120000</v>
      </c>
      <c r="H10" s="112" t="s">
        <v>205</v>
      </c>
      <c r="I10" s="113">
        <f>COUNTIFS($C$6:$C$69,"1",$B$6:$B$69,"&gt;=60000",$B$6:$B$69,"&lt;=120000")</f>
        <v>0</v>
      </c>
      <c r="J10" s="113">
        <f>COUNTIFS($C$6:$C$69,"2",$B$6:$B$69,"&gt;=60000",$B$6:$B$69,"&lt;=120000")</f>
        <v>0</v>
      </c>
      <c r="K10" s="113">
        <f>COUNTIFS($C$6:$C$69,"3",$B$6:$B$69,"&gt;=60000",$B$6:$B$69,"&lt;=120000")</f>
        <v>0</v>
      </c>
      <c r="L10" s="113">
        <f>COUNTIFS($C$6:$C$69,"4",$B$6:$B$69,"&gt;=60000",$B$6:$B$69,"&lt;=120000")</f>
        <v>2</v>
      </c>
      <c r="M10" s="113">
        <f>COUNTIFS($C$6:$C$69,"5",$B$6:$B$69,"&gt;=60000",$B$6:$B$69,"&lt;=120000")</f>
        <v>0</v>
      </c>
    </row>
    <row r="11" spans="2:14" ht="13" x14ac:dyDescent="0.3">
      <c r="B11" s="159">
        <v>23432</v>
      </c>
      <c r="C11" s="161">
        <v>1</v>
      </c>
      <c r="G11" s="110"/>
      <c r="H11" s="112" t="s">
        <v>206</v>
      </c>
      <c r="I11" s="113">
        <f>COUNTIFS($C$6:$C$69,"1",$B$6:$B$69,"&gt;120000")</f>
        <v>0</v>
      </c>
      <c r="J11" s="113">
        <f>COUNTIFS($C$6:$C$69,"2",$B$6:$B$69,"&gt;120000")</f>
        <v>0</v>
      </c>
      <c r="K11" s="113">
        <f>COUNTIFS($C$6:$C$69,"3",$B$6:$B$69,"&gt;120000")</f>
        <v>0</v>
      </c>
      <c r="L11" s="113">
        <f>COUNTIFS($C$6:$C$69,"4",$B$6:$B$69,"&gt;120000")</f>
        <v>0</v>
      </c>
      <c r="M11" s="113">
        <f>COUNTIFS($C$6:$C$69,"5",$B$6:$B$69,"&gt;120000")</f>
        <v>2</v>
      </c>
    </row>
    <row r="12" spans="2:14" ht="13" x14ac:dyDescent="0.3">
      <c r="B12" s="159">
        <v>23826</v>
      </c>
      <c r="C12" s="161">
        <v>1</v>
      </c>
      <c r="H12" s="163" t="s">
        <v>157</v>
      </c>
      <c r="I12" s="164">
        <f>SUM(I7:I11)</f>
        <v>37</v>
      </c>
      <c r="J12" s="164">
        <f t="shared" ref="J12:M12" si="0">SUM(J7:J11)</f>
        <v>12</v>
      </c>
      <c r="K12" s="164">
        <f t="shared" si="0"/>
        <v>11</v>
      </c>
      <c r="L12" s="164">
        <f t="shared" si="0"/>
        <v>2</v>
      </c>
      <c r="M12" s="164">
        <f t="shared" si="0"/>
        <v>2</v>
      </c>
    </row>
    <row r="13" spans="2:14" x14ac:dyDescent="0.25">
      <c r="B13" s="159">
        <v>24385</v>
      </c>
      <c r="C13" s="161">
        <v>1</v>
      </c>
      <c r="H13" s="131"/>
    </row>
    <row r="14" spans="2:14" x14ac:dyDescent="0.25">
      <c r="B14" s="159">
        <v>25951</v>
      </c>
      <c r="C14" s="161">
        <v>1</v>
      </c>
      <c r="H14" s="131"/>
    </row>
    <row r="15" spans="2:14" x14ac:dyDescent="0.25">
      <c r="B15" s="159">
        <v>26059</v>
      </c>
      <c r="C15" s="161">
        <v>1</v>
      </c>
      <c r="H15" s="131"/>
    </row>
    <row r="16" spans="2:14" x14ac:dyDescent="0.25">
      <c r="B16" s="159">
        <v>26059</v>
      </c>
      <c r="C16" s="161">
        <v>1</v>
      </c>
      <c r="H16" s="131"/>
    </row>
    <row r="17" spans="2:8" x14ac:dyDescent="0.25">
      <c r="B17" s="159">
        <v>26252</v>
      </c>
      <c r="C17" s="161">
        <v>1</v>
      </c>
      <c r="H17" s="131"/>
    </row>
    <row r="18" spans="2:8" x14ac:dyDescent="0.25">
      <c r="B18" s="159">
        <v>26961</v>
      </c>
      <c r="C18" s="161">
        <v>1</v>
      </c>
      <c r="H18" s="131"/>
    </row>
    <row r="19" spans="2:8" x14ac:dyDescent="0.25">
      <c r="B19" s="159">
        <v>27082</v>
      </c>
      <c r="C19" s="161">
        <v>1</v>
      </c>
      <c r="H19" s="131"/>
    </row>
    <row r="20" spans="2:8" x14ac:dyDescent="0.25">
      <c r="B20" s="159">
        <v>27082</v>
      </c>
      <c r="C20" s="161">
        <v>1</v>
      </c>
      <c r="H20" s="131"/>
    </row>
    <row r="21" spans="2:8" x14ac:dyDescent="0.25">
      <c r="B21" s="159">
        <v>27374</v>
      </c>
      <c r="C21" s="161">
        <v>1</v>
      </c>
      <c r="H21" s="131"/>
    </row>
    <row r="22" spans="2:8" x14ac:dyDescent="0.25">
      <c r="B22" s="159">
        <v>27482</v>
      </c>
      <c r="C22" s="161">
        <v>1</v>
      </c>
      <c r="H22" s="131"/>
    </row>
    <row r="23" spans="2:8" x14ac:dyDescent="0.25">
      <c r="B23" s="159">
        <v>27529</v>
      </c>
      <c r="C23" s="161">
        <v>1</v>
      </c>
      <c r="H23" s="131"/>
    </row>
    <row r="24" spans="2:8" x14ac:dyDescent="0.25">
      <c r="B24" s="159">
        <v>27579</v>
      </c>
      <c r="C24" s="161">
        <v>1</v>
      </c>
      <c r="H24" s="131"/>
    </row>
    <row r="25" spans="2:8" x14ac:dyDescent="0.25">
      <c r="B25" s="159">
        <v>27680</v>
      </c>
      <c r="C25" s="161">
        <v>1</v>
      </c>
      <c r="H25" s="131"/>
    </row>
    <row r="26" spans="2:8" x14ac:dyDescent="0.25">
      <c r="B26" s="159">
        <v>27854</v>
      </c>
      <c r="C26" s="161">
        <v>1</v>
      </c>
      <c r="H26" s="131"/>
    </row>
    <row r="27" spans="2:8" x14ac:dyDescent="0.25">
      <c r="B27" s="159">
        <v>27903</v>
      </c>
      <c r="C27" s="161">
        <v>1</v>
      </c>
      <c r="H27" s="131"/>
    </row>
    <row r="28" spans="2:8" x14ac:dyDescent="0.25">
      <c r="B28" s="159">
        <v>27914</v>
      </c>
      <c r="C28" s="161">
        <v>1</v>
      </c>
      <c r="H28" s="131"/>
    </row>
    <row r="29" spans="2:8" x14ac:dyDescent="0.25">
      <c r="B29" s="159">
        <v>28175</v>
      </c>
      <c r="C29" s="161">
        <v>1</v>
      </c>
      <c r="H29" s="131"/>
    </row>
    <row r="30" spans="2:8" x14ac:dyDescent="0.25">
      <c r="B30" s="159">
        <v>28264</v>
      </c>
      <c r="C30" s="161">
        <v>1</v>
      </c>
      <c r="H30" s="131"/>
    </row>
    <row r="31" spans="2:8" x14ac:dyDescent="0.25">
      <c r="B31" s="159">
        <v>28269</v>
      </c>
      <c r="C31" s="161">
        <v>1</v>
      </c>
      <c r="H31" s="131"/>
    </row>
    <row r="32" spans="2:8" x14ac:dyDescent="0.25">
      <c r="B32" s="159">
        <v>28309</v>
      </c>
      <c r="C32" s="161">
        <v>1</v>
      </c>
      <c r="H32" s="131"/>
    </row>
    <row r="33" spans="2:8" x14ac:dyDescent="0.25">
      <c r="B33" s="159">
        <v>28418</v>
      </c>
      <c r="C33" s="161">
        <v>1</v>
      </c>
      <c r="H33" s="131"/>
    </row>
    <row r="34" spans="2:8" x14ac:dyDescent="0.25">
      <c r="B34" s="159">
        <v>28605</v>
      </c>
      <c r="C34" s="161">
        <v>1</v>
      </c>
      <c r="H34" s="131"/>
    </row>
    <row r="35" spans="2:8" x14ac:dyDescent="0.25">
      <c r="B35" s="159">
        <v>28732</v>
      </c>
      <c r="C35" s="161">
        <v>1</v>
      </c>
      <c r="H35" s="131"/>
    </row>
    <row r="36" spans="2:8" x14ac:dyDescent="0.25">
      <c r="B36" s="159">
        <v>28774</v>
      </c>
      <c r="C36" s="161">
        <v>1</v>
      </c>
      <c r="H36" s="131"/>
    </row>
    <row r="37" spans="2:8" x14ac:dyDescent="0.25">
      <c r="B37" s="159">
        <v>28882</v>
      </c>
      <c r="C37" s="161">
        <v>1</v>
      </c>
      <c r="H37" s="131"/>
    </row>
    <row r="38" spans="2:8" x14ac:dyDescent="0.25">
      <c r="B38" s="159">
        <v>29109</v>
      </c>
      <c r="C38" s="161">
        <v>1</v>
      </c>
      <c r="H38" s="131"/>
    </row>
    <row r="39" spans="2:8" x14ac:dyDescent="0.25">
      <c r="B39" s="159">
        <v>29146</v>
      </c>
      <c r="C39" s="161">
        <v>1</v>
      </c>
      <c r="H39" s="131"/>
    </row>
    <row r="40" spans="2:8" x14ac:dyDescent="0.25">
      <c r="B40" s="159">
        <v>29245</v>
      </c>
      <c r="C40" s="161">
        <v>1</v>
      </c>
      <c r="H40" s="131"/>
    </row>
    <row r="41" spans="2:8" x14ac:dyDescent="0.25">
      <c r="B41" s="159">
        <v>29519</v>
      </c>
      <c r="C41" s="161">
        <v>1</v>
      </c>
      <c r="H41" s="131"/>
    </row>
    <row r="42" spans="2:8" x14ac:dyDescent="0.25">
      <c r="B42" s="158">
        <v>29545</v>
      </c>
      <c r="C42" s="161">
        <v>1</v>
      </c>
      <c r="H42" s="131"/>
    </row>
    <row r="43" spans="2:8" x14ac:dyDescent="0.25">
      <c r="B43" s="158">
        <v>30759</v>
      </c>
      <c r="C43" s="161">
        <v>2</v>
      </c>
      <c r="H43" s="131"/>
    </row>
    <row r="44" spans="2:8" x14ac:dyDescent="0.25">
      <c r="B44" s="158">
        <v>30969</v>
      </c>
      <c r="C44" s="161">
        <v>2</v>
      </c>
      <c r="H44" s="131"/>
    </row>
    <row r="45" spans="2:8" x14ac:dyDescent="0.25">
      <c r="B45" s="158">
        <v>31481</v>
      </c>
      <c r="C45" s="161">
        <v>2</v>
      </c>
      <c r="H45" s="131"/>
    </row>
    <row r="46" spans="2:8" x14ac:dyDescent="0.25">
      <c r="B46" s="158">
        <v>32704</v>
      </c>
      <c r="C46" s="161">
        <v>2</v>
      </c>
      <c r="H46" s="131"/>
    </row>
    <row r="47" spans="2:8" x14ac:dyDescent="0.25">
      <c r="B47" s="158">
        <v>33306</v>
      </c>
      <c r="C47" s="161">
        <v>2</v>
      </c>
      <c r="H47" s="131"/>
    </row>
    <row r="48" spans="2:8" x14ac:dyDescent="0.25">
      <c r="B48" s="158">
        <v>33352</v>
      </c>
      <c r="C48" s="161">
        <v>2</v>
      </c>
      <c r="H48" s="131"/>
    </row>
    <row r="49" spans="2:8" x14ac:dyDescent="0.25">
      <c r="B49" s="158">
        <v>33734</v>
      </c>
      <c r="C49" s="161">
        <v>2</v>
      </c>
      <c r="H49" s="131"/>
    </row>
    <row r="50" spans="2:8" x14ac:dyDescent="0.25">
      <c r="B50" s="158">
        <v>35152</v>
      </c>
      <c r="C50" s="161">
        <v>2</v>
      </c>
      <c r="H50" s="131"/>
    </row>
    <row r="51" spans="2:8" x14ac:dyDescent="0.25">
      <c r="B51" s="158">
        <v>35644</v>
      </c>
      <c r="C51" s="161">
        <v>2</v>
      </c>
      <c r="H51" s="131"/>
    </row>
    <row r="52" spans="2:8" x14ac:dyDescent="0.25">
      <c r="B52" s="158">
        <v>36340</v>
      </c>
      <c r="C52" s="161">
        <v>2</v>
      </c>
      <c r="H52" s="131"/>
    </row>
    <row r="53" spans="2:8" x14ac:dyDescent="0.25">
      <c r="B53" s="158">
        <v>36555</v>
      </c>
      <c r="C53" s="161">
        <v>2</v>
      </c>
      <c r="H53" s="131"/>
    </row>
    <row r="54" spans="2:8" x14ac:dyDescent="0.25">
      <c r="B54" s="158">
        <v>44203</v>
      </c>
      <c r="C54" s="161">
        <v>2</v>
      </c>
      <c r="H54" s="131"/>
    </row>
    <row r="55" spans="2:8" x14ac:dyDescent="0.25">
      <c r="B55" s="158">
        <v>46356</v>
      </c>
      <c r="C55" s="161">
        <v>3</v>
      </c>
      <c r="H55" s="131"/>
    </row>
    <row r="56" spans="2:8" x14ac:dyDescent="0.25">
      <c r="B56" s="158">
        <v>49929</v>
      </c>
      <c r="C56" s="161">
        <v>3</v>
      </c>
      <c r="H56" s="131"/>
    </row>
    <row r="57" spans="2:8" x14ac:dyDescent="0.25">
      <c r="B57" s="158">
        <v>50237</v>
      </c>
      <c r="C57" s="161">
        <v>3</v>
      </c>
      <c r="H57" s="131"/>
    </row>
    <row r="58" spans="2:8" x14ac:dyDescent="0.25">
      <c r="B58" s="158">
        <v>52174</v>
      </c>
      <c r="C58" s="161">
        <v>3</v>
      </c>
      <c r="H58" s="131"/>
    </row>
    <row r="59" spans="2:8" x14ac:dyDescent="0.25">
      <c r="B59" s="158">
        <v>52441</v>
      </c>
      <c r="C59" s="161">
        <v>3</v>
      </c>
      <c r="H59" s="131"/>
    </row>
    <row r="60" spans="2:8" x14ac:dyDescent="0.25">
      <c r="B60" s="158">
        <v>53110</v>
      </c>
      <c r="C60" s="161">
        <v>3</v>
      </c>
      <c r="H60" s="131"/>
    </row>
    <row r="61" spans="2:8" x14ac:dyDescent="0.25">
      <c r="B61" s="158">
        <v>54312</v>
      </c>
      <c r="C61" s="161">
        <v>3</v>
      </c>
      <c r="H61" s="131"/>
    </row>
    <row r="62" spans="2:8" x14ac:dyDescent="0.25">
      <c r="B62" s="158">
        <v>54566</v>
      </c>
      <c r="C62" s="161">
        <v>3</v>
      </c>
      <c r="H62" s="131"/>
    </row>
    <row r="63" spans="2:8" x14ac:dyDescent="0.25">
      <c r="B63" s="158">
        <v>55313</v>
      </c>
      <c r="C63" s="161">
        <v>3</v>
      </c>
      <c r="H63" s="131"/>
    </row>
    <row r="64" spans="2:8" x14ac:dyDescent="0.25">
      <c r="B64" s="158">
        <v>55420</v>
      </c>
      <c r="C64" s="161">
        <v>3</v>
      </c>
      <c r="H64" s="131"/>
    </row>
    <row r="65" spans="2:8" x14ac:dyDescent="0.25">
      <c r="B65" s="158">
        <v>59173</v>
      </c>
      <c r="C65" s="161">
        <v>3</v>
      </c>
      <c r="H65" s="131"/>
    </row>
    <row r="66" spans="2:8" x14ac:dyDescent="0.25">
      <c r="B66" s="158">
        <v>99367</v>
      </c>
      <c r="C66" s="161">
        <v>4</v>
      </c>
      <c r="H66" s="131"/>
    </row>
    <row r="67" spans="2:8" x14ac:dyDescent="0.25">
      <c r="B67" s="158">
        <v>103749</v>
      </c>
      <c r="C67" s="161">
        <v>4</v>
      </c>
      <c r="H67" s="131"/>
    </row>
    <row r="68" spans="2:8" x14ac:dyDescent="0.25">
      <c r="B68" s="158">
        <v>127272</v>
      </c>
      <c r="C68" s="161">
        <v>5</v>
      </c>
    </row>
    <row r="69" spans="2:8" x14ac:dyDescent="0.25">
      <c r="B69" s="158">
        <v>153446</v>
      </c>
      <c r="C69" s="162">
        <v>5</v>
      </c>
    </row>
    <row r="70" spans="2:8" x14ac:dyDescent="0.25">
      <c r="B70" s="135"/>
    </row>
  </sheetData>
  <autoFilter ref="B5:C5" xr:uid="{30A08C1A-DD47-4586-81C1-101C73D5D039}">
    <sortState ref="B6:C69">
      <sortCondition ref="B5"/>
    </sortState>
  </autoFilter>
  <mergeCells count="1">
    <mergeCell ref="B2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3ED0-D896-41B7-8183-EFE55C6512F9}">
  <dimension ref="B1:N17"/>
  <sheetViews>
    <sheetView tabSelected="1" workbookViewId="0">
      <selection activeCell="D21" sqref="D21"/>
    </sheetView>
  </sheetViews>
  <sheetFormatPr baseColWidth="10" defaultRowHeight="12.5" x14ac:dyDescent="0.25"/>
  <cols>
    <col min="1" max="1" width="4.1796875" customWidth="1"/>
    <col min="3" max="3" width="19.6328125" customWidth="1"/>
    <col min="4" max="4" width="15" customWidth="1"/>
  </cols>
  <sheetData>
    <row r="1" spans="2:14" ht="13" thickBot="1" x14ac:dyDescent="0.3"/>
    <row r="2" spans="2:14" ht="12.5" customHeight="1" x14ac:dyDescent="0.25">
      <c r="B2" s="176" t="s">
        <v>192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2:14" ht="13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5" spans="2:14" x14ac:dyDescent="0.25">
      <c r="E5" s="90"/>
      <c r="F5" s="90"/>
      <c r="G5" s="90"/>
      <c r="H5" s="90"/>
    </row>
    <row r="6" spans="2:14" x14ac:dyDescent="0.25">
      <c r="G6" s="15"/>
      <c r="H6" s="15"/>
      <c r="I6" s="15"/>
      <c r="J6" s="15"/>
      <c r="K6" s="15"/>
      <c r="L6" s="15"/>
      <c r="M6" s="15"/>
      <c r="N6" s="15"/>
    </row>
    <row r="7" spans="2:14" x14ac:dyDescent="0.25">
      <c r="G7" s="15"/>
      <c r="H7" s="15"/>
      <c r="I7" s="15"/>
      <c r="J7" s="15"/>
      <c r="K7" s="15"/>
      <c r="L7" s="15"/>
      <c r="M7" s="15"/>
      <c r="N7" s="15"/>
    </row>
    <row r="8" spans="2:14" x14ac:dyDescent="0.25">
      <c r="G8" s="15"/>
      <c r="H8" s="132"/>
      <c r="I8" s="132"/>
      <c r="J8" s="132"/>
      <c r="K8" s="132"/>
      <c r="L8" s="132"/>
      <c r="M8" s="15"/>
      <c r="N8" s="15"/>
    </row>
    <row r="9" spans="2:14" x14ac:dyDescent="0.25">
      <c r="G9" s="15"/>
      <c r="H9" s="132"/>
      <c r="I9" s="132"/>
      <c r="J9" s="132"/>
      <c r="K9" s="132"/>
      <c r="L9" s="132"/>
      <c r="M9" s="15"/>
      <c r="N9" s="15"/>
    </row>
    <row r="10" spans="2:14" x14ac:dyDescent="0.25">
      <c r="C10" s="90" t="s">
        <v>144</v>
      </c>
      <c r="D10" s="90" t="s">
        <v>146</v>
      </c>
      <c r="G10" s="15"/>
      <c r="H10" s="132"/>
      <c r="I10" s="132"/>
      <c r="J10" s="132"/>
      <c r="K10" s="132"/>
      <c r="L10" s="132"/>
      <c r="M10" s="15"/>
      <c r="N10" s="15"/>
    </row>
    <row r="11" spans="2:14" x14ac:dyDescent="0.25">
      <c r="C11" s="100" t="s">
        <v>9</v>
      </c>
      <c r="D11" s="101">
        <v>29</v>
      </c>
      <c r="G11" s="15"/>
      <c r="H11" s="132"/>
      <c r="I11" s="132"/>
      <c r="J11" s="132"/>
      <c r="K11" s="132"/>
      <c r="L11" s="132"/>
      <c r="M11" s="15"/>
      <c r="N11" s="15"/>
    </row>
    <row r="12" spans="2:14" x14ac:dyDescent="0.25">
      <c r="C12" s="98" t="s">
        <v>8</v>
      </c>
      <c r="D12" s="99">
        <v>35</v>
      </c>
      <c r="G12" s="15"/>
      <c r="H12" s="132"/>
      <c r="I12" s="132"/>
      <c r="J12" s="132"/>
      <c r="K12" s="132"/>
      <c r="L12" s="132"/>
      <c r="M12" s="15"/>
      <c r="N12" s="15"/>
    </row>
    <row r="13" spans="2:14" x14ac:dyDescent="0.25">
      <c r="C13" s="91" t="s">
        <v>145</v>
      </c>
      <c r="D13" s="92">
        <v>64</v>
      </c>
      <c r="G13" s="15"/>
      <c r="H13" s="132"/>
      <c r="I13" s="132"/>
      <c r="J13" s="132"/>
      <c r="K13" s="132"/>
      <c r="L13" s="132"/>
      <c r="M13" s="15"/>
      <c r="N13" s="15"/>
    </row>
    <row r="14" spans="2:14" x14ac:dyDescent="0.25">
      <c r="G14" s="15"/>
      <c r="H14" s="132"/>
      <c r="I14" s="132"/>
      <c r="J14" s="132"/>
      <c r="K14" s="132"/>
      <c r="L14" s="132"/>
      <c r="M14" s="15"/>
      <c r="N14" s="15"/>
    </row>
    <row r="15" spans="2:14" x14ac:dyDescent="0.25">
      <c r="G15" s="15"/>
      <c r="H15" s="15"/>
      <c r="I15" s="15"/>
      <c r="J15" s="15"/>
      <c r="K15" s="15"/>
      <c r="L15" s="15"/>
      <c r="M15" s="15"/>
      <c r="N15" s="15"/>
    </row>
    <row r="16" spans="2:14" x14ac:dyDescent="0.25">
      <c r="G16" s="15"/>
      <c r="H16" s="15"/>
      <c r="I16" s="15"/>
      <c r="J16" s="15"/>
      <c r="K16" s="15"/>
      <c r="L16" s="15"/>
      <c r="M16" s="15"/>
      <c r="N16" s="15"/>
    </row>
    <row r="17" spans="7:14" x14ac:dyDescent="0.25">
      <c r="G17" s="15"/>
      <c r="H17" s="15"/>
      <c r="I17" s="15"/>
      <c r="J17" s="15"/>
      <c r="K17" s="15"/>
      <c r="L17" s="15"/>
      <c r="M17" s="15"/>
      <c r="N17" s="15"/>
    </row>
  </sheetData>
  <mergeCells count="1">
    <mergeCell ref="B2:M3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04CC-4687-465E-B92E-A8D61FB47990}">
  <dimension ref="B1:L12"/>
  <sheetViews>
    <sheetView workbookViewId="0">
      <selection activeCell="B5" sqref="B5:F10"/>
    </sheetView>
  </sheetViews>
  <sheetFormatPr baseColWidth="10" defaultRowHeight="12.5" x14ac:dyDescent="0.25"/>
  <cols>
    <col min="1" max="1" width="3.54296875" customWidth="1"/>
    <col min="2" max="2" width="12.26953125" customWidth="1"/>
    <col min="4" max="4" width="17.453125" customWidth="1"/>
  </cols>
  <sheetData>
    <row r="1" spans="2:12" ht="13" thickBot="1" x14ac:dyDescent="0.3"/>
    <row r="2" spans="2:12" x14ac:dyDescent="0.25">
      <c r="B2" s="176" t="s">
        <v>164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2:12" ht="13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5" spans="2:12" x14ac:dyDescent="0.25">
      <c r="B5" s="108" t="s">
        <v>165</v>
      </c>
      <c r="C5" s="108" t="s">
        <v>166</v>
      </c>
      <c r="D5" s="109" t="s">
        <v>168</v>
      </c>
      <c r="E5" s="108" t="s">
        <v>8</v>
      </c>
      <c r="F5" s="108" t="s">
        <v>9</v>
      </c>
      <c r="G5" s="107" t="s">
        <v>9</v>
      </c>
    </row>
    <row r="6" spans="2:12" ht="13" x14ac:dyDescent="0.3">
      <c r="B6" s="110">
        <v>1</v>
      </c>
      <c r="C6" s="111">
        <v>26</v>
      </c>
      <c r="D6" s="112" t="s">
        <v>169</v>
      </c>
      <c r="E6" s="113">
        <f>COUNTIFS(Données!$N$7:$N$70,$B6,Données!$C$7:$C$70,$E$5)</f>
        <v>2</v>
      </c>
      <c r="F6" s="113">
        <f>COUNTIFS(Données!$N$7:$N$70,$B6,Données!$C$7:$C$70,$F$5)</f>
        <v>3</v>
      </c>
      <c r="G6" s="104">
        <f>F6*-1</f>
        <v>-3</v>
      </c>
    </row>
    <row r="7" spans="2:12" ht="13" x14ac:dyDescent="0.3">
      <c r="B7" s="110">
        <v>2</v>
      </c>
      <c r="C7" s="111">
        <v>36</v>
      </c>
      <c r="D7" s="114" t="s">
        <v>158</v>
      </c>
      <c r="E7" s="113">
        <f>COUNTIFS(Données!$N$7:$N$70,$B7,Données!$C$7:$C$70,$E$5)</f>
        <v>15</v>
      </c>
      <c r="F7" s="113">
        <f>COUNTIFS(Données!$N$7:$N$70,$B7,Données!$C$7:$C$70,$F$5)</f>
        <v>8</v>
      </c>
      <c r="G7" s="104">
        <f t="shared" ref="G7:G10" si="0">F7*-1</f>
        <v>-8</v>
      </c>
    </row>
    <row r="8" spans="2:12" ht="13" x14ac:dyDescent="0.3">
      <c r="B8" s="110">
        <v>3</v>
      </c>
      <c r="C8" s="111">
        <v>41</v>
      </c>
      <c r="D8" s="114" t="s">
        <v>159</v>
      </c>
      <c r="E8" s="113">
        <f>COUNTIFS(Données!$N$7:$N$70,$B8,Données!$C$7:$C$70,$E$5)</f>
        <v>9</v>
      </c>
      <c r="F8" s="113">
        <f>COUNTIFS(Données!$N$7:$N$70,$B8,Données!$C$7:$C$70,$F$5)</f>
        <v>3</v>
      </c>
      <c r="G8" s="104">
        <f t="shared" si="0"/>
        <v>-3</v>
      </c>
    </row>
    <row r="9" spans="2:12" ht="13" x14ac:dyDescent="0.3">
      <c r="B9" s="110">
        <v>4</v>
      </c>
      <c r="C9" s="111">
        <v>56</v>
      </c>
      <c r="D9" s="115" t="s">
        <v>160</v>
      </c>
      <c r="E9" s="113">
        <f>COUNTIFS(Données!$N$7:$N$70,$B9,Données!$C$7:$C$70,$E$5)</f>
        <v>7</v>
      </c>
      <c r="F9" s="113">
        <f>COUNTIFS(Données!$N$7:$N$70,$B9,Données!$C$7:$C$70,$F$5)</f>
        <v>12</v>
      </c>
      <c r="G9" s="104">
        <f t="shared" si="0"/>
        <v>-12</v>
      </c>
    </row>
    <row r="10" spans="2:12" ht="13" x14ac:dyDescent="0.3">
      <c r="B10" s="110">
        <v>5</v>
      </c>
      <c r="C10" s="116"/>
      <c r="D10" s="117" t="s">
        <v>161</v>
      </c>
      <c r="E10" s="113">
        <f>COUNTIFS(Données!$N$7:$N$70,$B10,Données!$C$7:$C$70,$E$5)</f>
        <v>2</v>
      </c>
      <c r="F10" s="113">
        <f>COUNTIFS(Données!$N$7:$N$70,$B10,Données!$C$7:$C$70,$F$5)</f>
        <v>3</v>
      </c>
      <c r="G10" s="104">
        <f t="shared" si="0"/>
        <v>-3</v>
      </c>
    </row>
    <row r="11" spans="2:12" x14ac:dyDescent="0.25">
      <c r="D11" s="106" t="s">
        <v>167</v>
      </c>
      <c r="E11" s="104">
        <f>SUM(E6:E10)</f>
        <v>35</v>
      </c>
      <c r="F11" s="104">
        <f>SUM(F6:F10)</f>
        <v>29</v>
      </c>
    </row>
    <row r="12" spans="2:12" x14ac:dyDescent="0.25">
      <c r="F12" s="104">
        <f>SUM(E11:F11)</f>
        <v>64</v>
      </c>
    </row>
  </sheetData>
  <mergeCells count="1">
    <mergeCell ref="B2:L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D3E2-2439-4130-B1B2-F7B54210515F}">
  <dimension ref="B1:N14"/>
  <sheetViews>
    <sheetView workbookViewId="0">
      <selection activeCell="E20" sqref="E20"/>
    </sheetView>
  </sheetViews>
  <sheetFormatPr baseColWidth="10" defaultRowHeight="12.5" x14ac:dyDescent="0.25"/>
  <cols>
    <col min="1" max="1" width="3" customWidth="1"/>
    <col min="3" max="3" width="13.26953125" customWidth="1"/>
    <col min="4" max="4" width="14.36328125" customWidth="1"/>
  </cols>
  <sheetData>
    <row r="1" spans="2:14" ht="13" thickBot="1" x14ac:dyDescent="0.3"/>
    <row r="2" spans="2:14" x14ac:dyDescent="0.25">
      <c r="B2" s="176" t="s">
        <v>193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2:14" ht="13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6" spans="2:14" x14ac:dyDescent="0.25">
      <c r="H6" s="144"/>
      <c r="I6" s="145"/>
      <c r="J6" s="145"/>
      <c r="K6" s="145"/>
      <c r="L6" s="145"/>
      <c r="M6" s="145"/>
    </row>
    <row r="7" spans="2:14" x14ac:dyDescent="0.25">
      <c r="E7" s="90"/>
      <c r="F7" s="90"/>
      <c r="G7" s="90"/>
      <c r="H7" s="145"/>
      <c r="I7" s="145"/>
      <c r="J7" s="145"/>
      <c r="K7" s="145"/>
      <c r="L7" s="145"/>
      <c r="M7" s="145"/>
    </row>
    <row r="8" spans="2:14" ht="13" thickBot="1" x14ac:dyDescent="0.3">
      <c r="H8" s="145"/>
      <c r="I8" s="145"/>
      <c r="J8" s="145"/>
      <c r="K8" s="145"/>
      <c r="L8" s="145"/>
      <c r="M8" s="145"/>
    </row>
    <row r="9" spans="2:14" x14ac:dyDescent="0.25">
      <c r="C9" s="105" t="s">
        <v>162</v>
      </c>
      <c r="D9" s="118" t="s">
        <v>163</v>
      </c>
      <c r="H9" s="145"/>
      <c r="I9" s="145"/>
      <c r="J9" s="145"/>
      <c r="K9" s="145"/>
      <c r="L9" s="145"/>
      <c r="M9" s="145"/>
    </row>
    <row r="10" spans="2:14" x14ac:dyDescent="0.25">
      <c r="C10" s="123">
        <v>1</v>
      </c>
      <c r="D10" s="124">
        <f>COUNTIF(Données!$F$7:$F$70,1)</f>
        <v>28</v>
      </c>
      <c r="H10" s="145"/>
      <c r="I10" s="145"/>
      <c r="J10" s="145"/>
      <c r="K10" s="145"/>
      <c r="L10" s="145"/>
      <c r="M10" s="145"/>
    </row>
    <row r="11" spans="2:14" x14ac:dyDescent="0.25">
      <c r="C11" s="121">
        <v>2</v>
      </c>
      <c r="D11" s="122">
        <f>COUNTIF(Données!$F$7:$F$70,2)</f>
        <v>19</v>
      </c>
      <c r="H11" s="145"/>
      <c r="I11" s="145"/>
      <c r="J11" s="145"/>
      <c r="K11" s="145"/>
      <c r="L11" s="145"/>
      <c r="M11" s="145"/>
    </row>
    <row r="12" spans="2:14" x14ac:dyDescent="0.25">
      <c r="C12" s="119">
        <v>3</v>
      </c>
      <c r="D12" s="120">
        <f>COUNTIF(Données!$F$7:$F$70,3)</f>
        <v>13</v>
      </c>
      <c r="H12" s="145"/>
      <c r="I12" s="145"/>
      <c r="J12" s="145"/>
      <c r="K12" s="145"/>
      <c r="L12" s="145"/>
      <c r="M12" s="145"/>
    </row>
    <row r="13" spans="2:14" x14ac:dyDescent="0.25">
      <c r="C13" s="125">
        <v>4</v>
      </c>
      <c r="D13" s="126">
        <f>COUNTIF(Données!$F$7:$F$70,4)</f>
        <v>4</v>
      </c>
      <c r="H13" s="145"/>
      <c r="I13" s="145"/>
      <c r="J13" s="145"/>
      <c r="K13" s="145"/>
      <c r="L13" s="145"/>
      <c r="M13" s="145"/>
    </row>
    <row r="14" spans="2:14" x14ac:dyDescent="0.25">
      <c r="C14" s="103" t="s">
        <v>157</v>
      </c>
      <c r="D14" s="104">
        <f>SUM(D10:D13)</f>
        <v>64</v>
      </c>
    </row>
  </sheetData>
  <mergeCells count="1">
    <mergeCell ref="B2:N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13A0-C623-4BA6-BB1F-109869889FF7}">
  <dimension ref="B1:K26"/>
  <sheetViews>
    <sheetView workbookViewId="0">
      <selection activeCell="E21" sqref="E21"/>
    </sheetView>
  </sheetViews>
  <sheetFormatPr baseColWidth="10" defaultRowHeight="12.5" x14ac:dyDescent="0.25"/>
  <cols>
    <col min="1" max="1" width="3.54296875" customWidth="1"/>
    <col min="2" max="2" width="20.36328125" customWidth="1"/>
    <col min="3" max="3" width="15.36328125" customWidth="1"/>
    <col min="4" max="4" width="14.81640625" customWidth="1"/>
    <col min="5" max="6" width="18.7265625" customWidth="1"/>
  </cols>
  <sheetData>
    <row r="1" spans="2:11" ht="13" thickBot="1" x14ac:dyDescent="0.3"/>
    <row r="2" spans="2:11" x14ac:dyDescent="0.25">
      <c r="B2" s="176" t="s">
        <v>194</v>
      </c>
      <c r="C2" s="177"/>
      <c r="D2" s="177"/>
      <c r="E2" s="177"/>
      <c r="F2" s="177"/>
      <c r="G2" s="177"/>
      <c r="H2" s="177"/>
      <c r="I2" s="177"/>
      <c r="J2" s="177"/>
      <c r="K2" s="178"/>
    </row>
    <row r="3" spans="2:11" ht="13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1"/>
    </row>
    <row r="6" spans="2:11" x14ac:dyDescent="0.25">
      <c r="G6" s="90"/>
      <c r="H6" s="90"/>
      <c r="I6" s="90"/>
      <c r="J6" s="90"/>
      <c r="K6" s="90"/>
    </row>
    <row r="9" spans="2:11" ht="25" x14ac:dyDescent="0.25">
      <c r="B9" s="84" t="s">
        <v>149</v>
      </c>
      <c r="C9" s="146" t="s">
        <v>150</v>
      </c>
      <c r="D9" s="15"/>
      <c r="E9" s="15"/>
      <c r="F9" s="15"/>
    </row>
    <row r="10" spans="2:11" x14ac:dyDescent="0.25">
      <c r="B10" s="84" t="s">
        <v>144</v>
      </c>
      <c r="C10" s="96" t="s">
        <v>9</v>
      </c>
      <c r="D10" s="94" t="s">
        <v>8</v>
      </c>
      <c r="E10" s="93" t="s">
        <v>145</v>
      </c>
      <c r="F10" s="93"/>
    </row>
    <row r="11" spans="2:11" x14ac:dyDescent="0.25">
      <c r="B11" s="85">
        <v>1</v>
      </c>
      <c r="C11" s="97">
        <v>13</v>
      </c>
      <c r="D11" s="95">
        <v>15</v>
      </c>
      <c r="E11" s="83">
        <v>28</v>
      </c>
      <c r="F11" s="83"/>
    </row>
    <row r="12" spans="2:11" x14ac:dyDescent="0.25">
      <c r="B12" s="85">
        <v>2</v>
      </c>
      <c r="C12" s="97">
        <v>11</v>
      </c>
      <c r="D12" s="95">
        <v>8</v>
      </c>
      <c r="E12" s="83">
        <v>19</v>
      </c>
      <c r="F12" s="83"/>
    </row>
    <row r="13" spans="2:11" x14ac:dyDescent="0.25">
      <c r="B13" s="85">
        <v>3</v>
      </c>
      <c r="C13" s="97">
        <v>4</v>
      </c>
      <c r="D13" s="95">
        <v>9</v>
      </c>
      <c r="E13" s="83">
        <v>13</v>
      </c>
      <c r="F13" s="83"/>
    </row>
    <row r="14" spans="2:11" x14ac:dyDescent="0.25">
      <c r="B14" s="85">
        <v>4</v>
      </c>
      <c r="C14" s="97">
        <v>1</v>
      </c>
      <c r="D14" s="95">
        <v>3</v>
      </c>
      <c r="E14" s="83">
        <v>4</v>
      </c>
      <c r="F14" s="83"/>
    </row>
    <row r="15" spans="2:11" x14ac:dyDescent="0.25">
      <c r="B15" s="85" t="s">
        <v>145</v>
      </c>
      <c r="C15" s="97">
        <v>29</v>
      </c>
      <c r="D15" s="95">
        <v>35</v>
      </c>
      <c r="E15" s="83">
        <v>64</v>
      </c>
      <c r="F15" s="83"/>
      <c r="G15" s="144"/>
      <c r="H15" s="145"/>
      <c r="I15" s="145"/>
      <c r="J15" s="145"/>
      <c r="K15" s="145"/>
    </row>
    <row r="16" spans="2:11" x14ac:dyDescent="0.25">
      <c r="G16" s="145"/>
      <c r="H16" s="145"/>
      <c r="I16" s="145"/>
      <c r="J16" s="145"/>
      <c r="K16" s="145"/>
    </row>
    <row r="17" spans="7:11" x14ac:dyDescent="0.25">
      <c r="G17" s="145"/>
      <c r="H17" s="145"/>
      <c r="I17" s="145"/>
      <c r="J17" s="145"/>
      <c r="K17" s="145"/>
    </row>
    <row r="18" spans="7:11" x14ac:dyDescent="0.25">
      <c r="G18" s="145"/>
      <c r="H18" s="145"/>
      <c r="I18" s="145"/>
      <c r="J18" s="145"/>
      <c r="K18" s="145"/>
    </row>
    <row r="19" spans="7:11" x14ac:dyDescent="0.25">
      <c r="G19" s="145"/>
      <c r="H19" s="145"/>
      <c r="I19" s="145"/>
      <c r="J19" s="145"/>
      <c r="K19" s="145"/>
    </row>
    <row r="20" spans="7:11" x14ac:dyDescent="0.25">
      <c r="G20" s="145"/>
      <c r="H20" s="145"/>
      <c r="I20" s="145"/>
      <c r="J20" s="145"/>
      <c r="K20" s="145"/>
    </row>
    <row r="21" spans="7:11" x14ac:dyDescent="0.25">
      <c r="G21" s="145"/>
      <c r="H21" s="145"/>
      <c r="I21" s="145"/>
      <c r="J21" s="145"/>
      <c r="K21" s="145"/>
    </row>
    <row r="22" spans="7:11" x14ac:dyDescent="0.25">
      <c r="G22" s="145"/>
      <c r="H22" s="145"/>
      <c r="I22" s="145"/>
      <c r="J22" s="145"/>
      <c r="K22" s="145"/>
    </row>
    <row r="23" spans="7:11" x14ac:dyDescent="0.25">
      <c r="G23" s="145"/>
      <c r="H23" s="145"/>
      <c r="I23" s="145"/>
      <c r="J23" s="145"/>
      <c r="K23" s="145"/>
    </row>
    <row r="24" spans="7:11" x14ac:dyDescent="0.25">
      <c r="G24" s="145"/>
      <c r="H24" s="145"/>
      <c r="I24" s="145"/>
      <c r="J24" s="145"/>
      <c r="K24" s="145"/>
    </row>
    <row r="25" spans="7:11" x14ac:dyDescent="0.25">
      <c r="G25" s="145"/>
      <c r="H25" s="145"/>
      <c r="I25" s="145"/>
      <c r="J25" s="145"/>
      <c r="K25" s="145"/>
    </row>
    <row r="26" spans="7:11" x14ac:dyDescent="0.25">
      <c r="G26" s="145"/>
      <c r="H26" s="145"/>
      <c r="I26" s="145"/>
      <c r="J26" s="145"/>
      <c r="K26" s="145"/>
    </row>
  </sheetData>
  <mergeCells count="1">
    <mergeCell ref="B2:K3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73F3-7EE4-424B-9EE8-D4F47EAAF1AF}">
  <dimension ref="B1:J23"/>
  <sheetViews>
    <sheetView workbookViewId="0">
      <selection activeCell="E24" sqref="E24"/>
    </sheetView>
  </sheetViews>
  <sheetFormatPr baseColWidth="10" defaultRowHeight="12.5" x14ac:dyDescent="0.25"/>
  <cols>
    <col min="1" max="1" width="4.36328125" customWidth="1"/>
    <col min="2" max="2" width="19.81640625" customWidth="1"/>
    <col min="3" max="3" width="14.7265625" customWidth="1"/>
  </cols>
  <sheetData>
    <row r="1" spans="2:10" ht="13" thickBot="1" x14ac:dyDescent="0.3"/>
    <row r="2" spans="2:10" x14ac:dyDescent="0.25">
      <c r="B2" s="176" t="s">
        <v>196</v>
      </c>
      <c r="C2" s="177"/>
      <c r="D2" s="177"/>
      <c r="E2" s="177"/>
      <c r="F2" s="177"/>
      <c r="G2" s="177"/>
      <c r="H2" s="177"/>
      <c r="I2" s="177"/>
      <c r="J2" s="178"/>
    </row>
    <row r="3" spans="2:10" ht="13" thickBot="1" x14ac:dyDescent="0.3">
      <c r="B3" s="179"/>
      <c r="C3" s="180"/>
      <c r="D3" s="180"/>
      <c r="E3" s="180"/>
      <c r="F3" s="180"/>
      <c r="G3" s="180"/>
      <c r="H3" s="180"/>
      <c r="I3" s="180"/>
      <c r="J3" s="181"/>
    </row>
    <row r="6" spans="2:10" x14ac:dyDescent="0.25">
      <c r="B6" s="84" t="s">
        <v>144</v>
      </c>
      <c r="C6" s="15" t="s">
        <v>148</v>
      </c>
    </row>
    <row r="7" spans="2:10" x14ac:dyDescent="0.25">
      <c r="B7" s="86">
        <v>0.5</v>
      </c>
      <c r="C7" s="83">
        <v>1</v>
      </c>
    </row>
    <row r="8" spans="2:10" x14ac:dyDescent="0.25">
      <c r="B8" s="86">
        <v>0.6</v>
      </c>
      <c r="C8" s="83">
        <v>1.7999999999999998</v>
      </c>
    </row>
    <row r="9" spans="2:10" x14ac:dyDescent="0.25">
      <c r="B9" s="86">
        <v>0.7</v>
      </c>
      <c r="C9" s="83">
        <v>0.7</v>
      </c>
    </row>
    <row r="10" spans="2:10" x14ac:dyDescent="0.25">
      <c r="B10" s="86">
        <v>0.8</v>
      </c>
      <c r="C10" s="83">
        <v>3.2</v>
      </c>
    </row>
    <row r="11" spans="2:10" x14ac:dyDescent="0.25">
      <c r="B11" s="86">
        <v>1</v>
      </c>
      <c r="C11" s="83">
        <v>54</v>
      </c>
    </row>
    <row r="12" spans="2:10" x14ac:dyDescent="0.25">
      <c r="B12" s="86" t="s">
        <v>145</v>
      </c>
      <c r="C12" s="83">
        <v>60.7</v>
      </c>
    </row>
    <row r="16" spans="2:10" x14ac:dyDescent="0.25">
      <c r="B16" s="144"/>
      <c r="C16" s="145"/>
    </row>
    <row r="17" spans="2:3" x14ac:dyDescent="0.25">
      <c r="B17" s="145"/>
      <c r="C17" s="145"/>
    </row>
    <row r="18" spans="2:3" x14ac:dyDescent="0.25">
      <c r="B18" s="145"/>
      <c r="C18" s="145"/>
    </row>
    <row r="19" spans="2:3" x14ac:dyDescent="0.25">
      <c r="B19" s="145"/>
      <c r="C19" s="145"/>
    </row>
    <row r="20" spans="2:3" x14ac:dyDescent="0.25">
      <c r="B20" s="145"/>
      <c r="C20" s="145"/>
    </row>
    <row r="21" spans="2:3" x14ac:dyDescent="0.25">
      <c r="B21" s="145"/>
      <c r="C21" s="145"/>
    </row>
    <row r="22" spans="2:3" x14ac:dyDescent="0.25">
      <c r="B22" s="145"/>
      <c r="C22" s="145"/>
    </row>
    <row r="23" spans="2:3" x14ac:dyDescent="0.25">
      <c r="B23" s="145"/>
      <c r="C23" s="145"/>
    </row>
  </sheetData>
  <mergeCells count="1">
    <mergeCell ref="B2:J3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90179-4AB1-499F-9B44-947EF84CDB2B}">
  <dimension ref="B1:K21"/>
  <sheetViews>
    <sheetView workbookViewId="0">
      <selection activeCell="B2" sqref="B2:J3"/>
    </sheetView>
  </sheetViews>
  <sheetFormatPr baseColWidth="10" defaultRowHeight="12.5" x14ac:dyDescent="0.25"/>
  <cols>
    <col min="1" max="1" width="3.453125" customWidth="1"/>
    <col min="2" max="2" width="20.6328125" customWidth="1"/>
    <col min="3" max="3" width="22.81640625" customWidth="1"/>
    <col min="8" max="8" width="16.08984375" customWidth="1"/>
  </cols>
  <sheetData>
    <row r="1" spans="2:11" ht="13" thickBot="1" x14ac:dyDescent="0.3"/>
    <row r="2" spans="2:11" x14ac:dyDescent="0.25">
      <c r="B2" s="176" t="s">
        <v>195</v>
      </c>
      <c r="C2" s="177"/>
      <c r="D2" s="177"/>
      <c r="E2" s="177"/>
      <c r="F2" s="177"/>
      <c r="G2" s="177"/>
      <c r="H2" s="177"/>
      <c r="I2" s="177"/>
      <c r="J2" s="178"/>
    </row>
    <row r="3" spans="2:11" ht="13" thickBot="1" x14ac:dyDescent="0.3">
      <c r="B3" s="179"/>
      <c r="C3" s="180"/>
      <c r="D3" s="180"/>
      <c r="E3" s="180"/>
      <c r="F3" s="180"/>
      <c r="G3" s="180"/>
      <c r="H3" s="180"/>
      <c r="I3" s="180"/>
      <c r="J3" s="181"/>
    </row>
    <row r="5" spans="2:11" x14ac:dyDescent="0.25">
      <c r="B5" s="90" t="s">
        <v>170</v>
      </c>
      <c r="C5" s="90" t="s">
        <v>150</v>
      </c>
    </row>
    <row r="6" spans="2:11" x14ac:dyDescent="0.25">
      <c r="B6" s="90" t="s">
        <v>144</v>
      </c>
      <c r="C6" s="127">
        <v>0.5</v>
      </c>
      <c r="D6" s="127">
        <v>0.6</v>
      </c>
      <c r="E6" s="127">
        <v>0.7</v>
      </c>
      <c r="F6" s="127">
        <v>0.8</v>
      </c>
      <c r="G6" s="127">
        <v>1</v>
      </c>
      <c r="H6" s="128" t="s">
        <v>145</v>
      </c>
    </row>
    <row r="7" spans="2:11" x14ac:dyDescent="0.25">
      <c r="B7" s="91" t="s">
        <v>9</v>
      </c>
      <c r="C7" s="92">
        <v>2</v>
      </c>
      <c r="D7" s="92">
        <v>1</v>
      </c>
      <c r="E7" s="92">
        <v>1</v>
      </c>
      <c r="F7" s="92"/>
      <c r="G7" s="92">
        <v>25</v>
      </c>
      <c r="H7" s="92">
        <v>29</v>
      </c>
    </row>
    <row r="8" spans="2:11" x14ac:dyDescent="0.25">
      <c r="B8" s="91" t="s">
        <v>8</v>
      </c>
      <c r="C8" s="92"/>
      <c r="D8" s="92">
        <v>2</v>
      </c>
      <c r="E8" s="92"/>
      <c r="F8" s="92">
        <v>4</v>
      </c>
      <c r="G8" s="92">
        <v>29</v>
      </c>
      <c r="H8" s="92">
        <v>35</v>
      </c>
    </row>
    <row r="9" spans="2:11" x14ac:dyDescent="0.25">
      <c r="B9" s="91" t="s">
        <v>145</v>
      </c>
      <c r="C9" s="92">
        <v>2</v>
      </c>
      <c r="D9" s="92">
        <v>3</v>
      </c>
      <c r="E9" s="92">
        <v>1</v>
      </c>
      <c r="F9" s="92">
        <v>4</v>
      </c>
      <c r="G9" s="92">
        <v>54</v>
      </c>
      <c r="H9" s="92">
        <v>64</v>
      </c>
    </row>
    <row r="13" spans="2:11" x14ac:dyDescent="0.25">
      <c r="H13" s="144"/>
      <c r="I13" s="145"/>
      <c r="J13" s="145"/>
      <c r="K13" s="145"/>
    </row>
    <row r="14" spans="2:11" x14ac:dyDescent="0.25">
      <c r="H14" s="145"/>
      <c r="I14" s="145"/>
      <c r="J14" s="145"/>
      <c r="K14" s="145"/>
    </row>
    <row r="15" spans="2:11" x14ac:dyDescent="0.25">
      <c r="H15" s="145"/>
      <c r="I15" s="145"/>
      <c r="J15" s="145"/>
      <c r="K15" s="145"/>
    </row>
    <row r="16" spans="2:11" x14ac:dyDescent="0.25">
      <c r="H16" s="145"/>
      <c r="I16" s="145"/>
      <c r="J16" s="145"/>
      <c r="K16" s="145"/>
    </row>
    <row r="17" spans="8:11" x14ac:dyDescent="0.25">
      <c r="H17" s="145"/>
      <c r="I17" s="145"/>
      <c r="J17" s="145"/>
      <c r="K17" s="145"/>
    </row>
    <row r="18" spans="8:11" x14ac:dyDescent="0.25">
      <c r="H18" s="145"/>
      <c r="I18" s="145"/>
      <c r="J18" s="145"/>
      <c r="K18" s="145"/>
    </row>
    <row r="19" spans="8:11" x14ac:dyDescent="0.25">
      <c r="H19" s="145"/>
      <c r="I19" s="145"/>
      <c r="J19" s="145"/>
      <c r="K19" s="145"/>
    </row>
    <row r="20" spans="8:11" x14ac:dyDescent="0.25">
      <c r="H20" s="145"/>
      <c r="I20" s="145"/>
      <c r="J20" s="145"/>
      <c r="K20" s="145"/>
    </row>
    <row r="21" spans="8:11" x14ac:dyDescent="0.25">
      <c r="H21" s="145"/>
      <c r="I21" s="145"/>
      <c r="J21" s="145"/>
      <c r="K21" s="145"/>
    </row>
  </sheetData>
  <mergeCells count="1">
    <mergeCell ref="B2:J3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6B8F-E1F0-4518-9050-5B3ADD9DFC3A}">
  <dimension ref="B1:K19"/>
  <sheetViews>
    <sheetView workbookViewId="0">
      <selection activeCell="G12" sqref="G12:K19"/>
    </sheetView>
  </sheetViews>
  <sheetFormatPr baseColWidth="10" defaultRowHeight="12.5" x14ac:dyDescent="0.25"/>
  <cols>
    <col min="1" max="1" width="3.453125" customWidth="1"/>
    <col min="2" max="2" width="20.1796875" bestFit="1" customWidth="1"/>
    <col min="3" max="3" width="22.90625" bestFit="1" customWidth="1"/>
    <col min="4" max="4" width="13.81640625" customWidth="1"/>
    <col min="5" max="5" width="12.08984375" bestFit="1" customWidth="1"/>
  </cols>
  <sheetData>
    <row r="1" spans="2:11" ht="13" thickBot="1" x14ac:dyDescent="0.3"/>
    <row r="2" spans="2:11" x14ac:dyDescent="0.25">
      <c r="B2" s="176" t="s">
        <v>173</v>
      </c>
      <c r="C2" s="177"/>
      <c r="D2" s="177"/>
      <c r="E2" s="177"/>
      <c r="F2" s="177"/>
      <c r="G2" s="177"/>
      <c r="H2" s="177"/>
      <c r="I2" s="177"/>
      <c r="J2" s="178"/>
    </row>
    <row r="3" spans="2:11" ht="13" thickBot="1" x14ac:dyDescent="0.3">
      <c r="B3" s="179"/>
      <c r="C3" s="180"/>
      <c r="D3" s="180"/>
      <c r="E3" s="180"/>
      <c r="F3" s="180"/>
      <c r="G3" s="180"/>
      <c r="H3" s="180"/>
      <c r="I3" s="180"/>
      <c r="J3" s="181"/>
    </row>
    <row r="6" spans="2:11" x14ac:dyDescent="0.25">
      <c r="B6" s="90" t="s">
        <v>170</v>
      </c>
      <c r="C6" s="90" t="s">
        <v>150</v>
      </c>
    </row>
    <row r="7" spans="2:11" x14ac:dyDescent="0.25">
      <c r="B7" s="90" t="s">
        <v>144</v>
      </c>
      <c r="C7" t="s">
        <v>9</v>
      </c>
      <c r="D7" t="s">
        <v>8</v>
      </c>
      <c r="E7" t="s">
        <v>145</v>
      </c>
    </row>
    <row r="8" spans="2:11" x14ac:dyDescent="0.25">
      <c r="B8" s="91" t="s">
        <v>171</v>
      </c>
      <c r="C8" s="92">
        <v>2</v>
      </c>
      <c r="D8" s="92">
        <v>2</v>
      </c>
      <c r="E8" s="92">
        <v>4</v>
      </c>
    </row>
    <row r="9" spans="2:11" x14ac:dyDescent="0.25">
      <c r="B9" s="91" t="s">
        <v>172</v>
      </c>
      <c r="C9" s="92"/>
      <c r="D9" s="92">
        <v>2</v>
      </c>
      <c r="E9" s="92">
        <v>2</v>
      </c>
    </row>
    <row r="10" spans="2:11" x14ac:dyDescent="0.25">
      <c r="B10" s="91" t="s">
        <v>145</v>
      </c>
      <c r="C10" s="92">
        <v>2</v>
      </c>
      <c r="D10" s="92">
        <v>4</v>
      </c>
      <c r="E10" s="92">
        <v>6</v>
      </c>
    </row>
    <row r="12" spans="2:11" x14ac:dyDescent="0.25">
      <c r="G12" s="145"/>
      <c r="H12" s="145"/>
      <c r="I12" s="145"/>
      <c r="J12" s="145"/>
      <c r="K12" s="145"/>
    </row>
    <row r="13" spans="2:11" x14ac:dyDescent="0.25">
      <c r="G13" s="145"/>
      <c r="H13" s="145"/>
      <c r="I13" s="145"/>
      <c r="J13" s="145"/>
      <c r="K13" s="145"/>
    </row>
    <row r="14" spans="2:11" x14ac:dyDescent="0.25">
      <c r="G14" s="145"/>
      <c r="H14" s="145"/>
      <c r="I14" s="145"/>
      <c r="J14" s="145"/>
      <c r="K14" s="145"/>
    </row>
    <row r="15" spans="2:11" x14ac:dyDescent="0.25">
      <c r="G15" s="145"/>
      <c r="H15" s="145"/>
      <c r="I15" s="145"/>
      <c r="J15" s="145"/>
      <c r="K15" s="145"/>
    </row>
    <row r="16" spans="2:11" x14ac:dyDescent="0.25">
      <c r="G16" s="145"/>
      <c r="H16" s="145"/>
      <c r="I16" s="145"/>
      <c r="J16" s="145"/>
      <c r="K16" s="145"/>
    </row>
    <row r="17" spans="7:11" x14ac:dyDescent="0.25">
      <c r="G17" s="145"/>
      <c r="H17" s="145"/>
      <c r="I17" s="145"/>
      <c r="J17" s="145"/>
      <c r="K17" s="145"/>
    </row>
    <row r="18" spans="7:11" x14ac:dyDescent="0.25">
      <c r="G18" s="145"/>
      <c r="H18" s="145"/>
      <c r="I18" s="145"/>
      <c r="J18" s="145"/>
      <c r="K18" s="145"/>
    </row>
    <row r="19" spans="7:11" x14ac:dyDescent="0.25">
      <c r="G19" s="145"/>
      <c r="H19" s="145"/>
      <c r="I19" s="145"/>
      <c r="J19" s="145"/>
      <c r="K19" s="145"/>
    </row>
  </sheetData>
  <mergeCells count="1">
    <mergeCell ref="B2:J3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FB01-D5D1-4F08-85C3-754ECB491FB6}">
  <dimension ref="B1:O42"/>
  <sheetViews>
    <sheetView topLeftCell="D5" workbookViewId="0">
      <selection activeCell="F21" sqref="F21"/>
    </sheetView>
  </sheetViews>
  <sheetFormatPr baseColWidth="10" defaultRowHeight="12.5" x14ac:dyDescent="0.25"/>
  <cols>
    <col min="1" max="1" width="4.08984375" customWidth="1"/>
    <col min="2" max="2" width="20.1796875" bestFit="1" customWidth="1"/>
    <col min="3" max="3" width="22.90625" bestFit="1" customWidth="1"/>
    <col min="4" max="4" width="15.26953125" customWidth="1"/>
    <col min="5" max="5" width="12.08984375" bestFit="1" customWidth="1"/>
    <col min="7" max="7" width="20.1796875" bestFit="1" customWidth="1"/>
    <col min="8" max="8" width="22.90625" bestFit="1" customWidth="1"/>
    <col min="9" max="14" width="9.90625" bestFit="1" customWidth="1"/>
    <col min="15" max="15" width="12.08984375" bestFit="1" customWidth="1"/>
  </cols>
  <sheetData>
    <row r="1" spans="2:15" ht="13" thickBot="1" x14ac:dyDescent="0.3"/>
    <row r="2" spans="2:15" x14ac:dyDescent="0.25">
      <c r="B2" s="176" t="s">
        <v>174</v>
      </c>
      <c r="C2" s="177"/>
      <c r="D2" s="177"/>
      <c r="E2" s="177"/>
      <c r="F2" s="177"/>
      <c r="G2" s="177"/>
      <c r="H2" s="177"/>
      <c r="I2" s="177"/>
      <c r="J2" s="178"/>
    </row>
    <row r="3" spans="2:15" ht="13" thickBot="1" x14ac:dyDescent="0.3">
      <c r="B3" s="179"/>
      <c r="C3" s="180"/>
      <c r="D3" s="180"/>
      <c r="E3" s="180"/>
      <c r="F3" s="180"/>
      <c r="G3" s="180"/>
      <c r="H3" s="180"/>
      <c r="I3" s="180"/>
      <c r="J3" s="181"/>
    </row>
    <row r="6" spans="2:15" x14ac:dyDescent="0.25">
      <c r="B6" s="90" t="s">
        <v>170</v>
      </c>
      <c r="C6" s="90" t="s">
        <v>150</v>
      </c>
      <c r="G6" s="90" t="s">
        <v>149</v>
      </c>
      <c r="H6" s="90" t="s">
        <v>150</v>
      </c>
    </row>
    <row r="7" spans="2:15" x14ac:dyDescent="0.25">
      <c r="B7" s="90" t="s">
        <v>144</v>
      </c>
      <c r="C7" t="s">
        <v>9</v>
      </c>
      <c r="D7" t="s">
        <v>8</v>
      </c>
      <c r="E7" t="s">
        <v>145</v>
      </c>
      <c r="G7" s="90" t="s">
        <v>144</v>
      </c>
      <c r="H7" t="s">
        <v>130</v>
      </c>
      <c r="I7" s="51">
        <v>44316</v>
      </c>
      <c r="J7" s="51">
        <v>44347</v>
      </c>
      <c r="K7" s="51">
        <v>44377</v>
      </c>
      <c r="L7" s="51">
        <v>44408</v>
      </c>
      <c r="M7" s="51">
        <v>44439</v>
      </c>
      <c r="N7" s="51">
        <v>44469</v>
      </c>
      <c r="O7" s="129" t="s">
        <v>145</v>
      </c>
    </row>
    <row r="8" spans="2:15" x14ac:dyDescent="0.25">
      <c r="B8" s="91" t="s">
        <v>130</v>
      </c>
      <c r="C8" s="92">
        <v>29</v>
      </c>
      <c r="D8" s="92">
        <v>35</v>
      </c>
      <c r="E8" s="92">
        <v>64</v>
      </c>
      <c r="G8" s="91">
        <v>1</v>
      </c>
      <c r="H8" s="92"/>
      <c r="I8" s="92"/>
      <c r="J8" s="92">
        <v>1</v>
      </c>
      <c r="K8" s="92">
        <v>1</v>
      </c>
      <c r="L8" s="92"/>
      <c r="M8" s="92"/>
      <c r="N8" s="92"/>
      <c r="O8" s="92">
        <v>2</v>
      </c>
    </row>
    <row r="9" spans="2:15" x14ac:dyDescent="0.25">
      <c r="B9" s="147">
        <v>44316</v>
      </c>
      <c r="C9" s="92">
        <v>2</v>
      </c>
      <c r="D9" s="92">
        <v>1</v>
      </c>
      <c r="E9" s="92">
        <v>3</v>
      </c>
      <c r="G9" s="91">
        <v>2</v>
      </c>
      <c r="H9" s="92"/>
      <c r="I9" s="92">
        <v>1</v>
      </c>
      <c r="J9" s="92">
        <v>1</v>
      </c>
      <c r="K9" s="92">
        <v>1</v>
      </c>
      <c r="L9" s="92">
        <v>2</v>
      </c>
      <c r="M9" s="92"/>
      <c r="N9" s="92">
        <v>1</v>
      </c>
      <c r="O9" s="92">
        <v>6</v>
      </c>
    </row>
    <row r="10" spans="2:15" x14ac:dyDescent="0.25">
      <c r="B10" s="147">
        <v>44347</v>
      </c>
      <c r="C10" s="92">
        <v>2</v>
      </c>
      <c r="D10" s="92">
        <v>1</v>
      </c>
      <c r="E10" s="92">
        <v>3</v>
      </c>
      <c r="G10" s="91">
        <v>3</v>
      </c>
      <c r="H10" s="92"/>
      <c r="I10" s="92"/>
      <c r="J10" s="92"/>
      <c r="K10" s="92"/>
      <c r="L10" s="92">
        <v>1</v>
      </c>
      <c r="M10" s="92">
        <v>1</v>
      </c>
      <c r="N10" s="92"/>
      <c r="O10" s="92">
        <v>2</v>
      </c>
    </row>
    <row r="11" spans="2:15" x14ac:dyDescent="0.25">
      <c r="B11" s="147">
        <v>44377</v>
      </c>
      <c r="C11" s="92"/>
      <c r="D11" s="92">
        <v>2</v>
      </c>
      <c r="E11" s="92">
        <v>2</v>
      </c>
      <c r="G11" s="91">
        <v>5</v>
      </c>
      <c r="H11" s="92"/>
      <c r="I11" s="92">
        <v>1</v>
      </c>
      <c r="J11" s="92">
        <v>1</v>
      </c>
      <c r="K11" s="92"/>
      <c r="L11" s="92">
        <v>1</v>
      </c>
      <c r="M11" s="92">
        <v>2</v>
      </c>
      <c r="N11" s="92"/>
      <c r="O11" s="92">
        <v>5</v>
      </c>
    </row>
    <row r="12" spans="2:15" x14ac:dyDescent="0.25">
      <c r="B12" s="147">
        <v>44408</v>
      </c>
      <c r="C12" s="92">
        <v>3</v>
      </c>
      <c r="D12" s="92">
        <v>1</v>
      </c>
      <c r="E12" s="92">
        <v>4</v>
      </c>
      <c r="G12" s="91">
        <v>7</v>
      </c>
      <c r="H12" s="92"/>
      <c r="I12" s="92">
        <v>1</v>
      </c>
      <c r="J12" s="92"/>
      <c r="K12" s="92"/>
      <c r="L12" s="92"/>
      <c r="M12" s="92"/>
      <c r="N12" s="92"/>
      <c r="O12" s="92">
        <v>1</v>
      </c>
    </row>
    <row r="13" spans="2:15" x14ac:dyDescent="0.25">
      <c r="B13" s="147">
        <v>44439</v>
      </c>
      <c r="C13" s="92">
        <v>1</v>
      </c>
      <c r="D13" s="92">
        <v>2</v>
      </c>
      <c r="E13" s="92">
        <v>3</v>
      </c>
      <c r="G13" s="91" t="s">
        <v>175</v>
      </c>
      <c r="H13" s="92">
        <v>64</v>
      </c>
      <c r="I13" s="92"/>
      <c r="J13" s="92"/>
      <c r="K13" s="92"/>
      <c r="L13" s="92"/>
      <c r="M13" s="92"/>
      <c r="N13" s="92"/>
      <c r="O13" s="92">
        <v>64</v>
      </c>
    </row>
    <row r="14" spans="2:15" x14ac:dyDescent="0.25">
      <c r="B14" s="147">
        <v>44469</v>
      </c>
      <c r="C14" s="92">
        <v>1</v>
      </c>
      <c r="D14" s="92"/>
      <c r="E14" s="92">
        <v>1</v>
      </c>
      <c r="G14" s="91" t="s">
        <v>145</v>
      </c>
      <c r="H14" s="92">
        <v>64</v>
      </c>
      <c r="I14" s="92">
        <v>3</v>
      </c>
      <c r="J14" s="92">
        <v>3</v>
      </c>
      <c r="K14" s="92">
        <v>2</v>
      </c>
      <c r="L14" s="92">
        <v>4</v>
      </c>
      <c r="M14" s="92">
        <v>3</v>
      </c>
      <c r="N14" s="92">
        <v>1</v>
      </c>
      <c r="O14" s="92">
        <v>80</v>
      </c>
    </row>
    <row r="15" spans="2:15" x14ac:dyDescent="0.25">
      <c r="B15" s="91" t="s">
        <v>145</v>
      </c>
      <c r="C15" s="92">
        <v>38</v>
      </c>
      <c r="D15" s="92">
        <v>42</v>
      </c>
      <c r="E15" s="92">
        <v>80</v>
      </c>
    </row>
    <row r="16" spans="2:15" ht="13" thickBot="1" x14ac:dyDescent="0.3"/>
    <row r="17" spans="2:5" ht="13.5" thickBot="1" x14ac:dyDescent="0.35">
      <c r="D17" s="148" t="s">
        <v>199</v>
      </c>
      <c r="E17" s="149">
        <f>SUM(C9:C14)</f>
        <v>9</v>
      </c>
    </row>
    <row r="18" spans="2:5" ht="13.5" thickBot="1" x14ac:dyDescent="0.35">
      <c r="D18" s="23"/>
      <c r="E18" s="23"/>
    </row>
    <row r="19" spans="2:5" ht="13.5" thickBot="1" x14ac:dyDescent="0.35">
      <c r="D19" s="148" t="s">
        <v>200</v>
      </c>
      <c r="E19" s="149">
        <f>SUM(D9:D14)</f>
        <v>7</v>
      </c>
    </row>
    <row r="20" spans="2:5" ht="13" thickBot="1" x14ac:dyDescent="0.3"/>
    <row r="21" spans="2:5" ht="13.5" thickBot="1" x14ac:dyDescent="0.35">
      <c r="D21" s="148" t="s">
        <v>198</v>
      </c>
      <c r="E21" s="149">
        <f>SUM(E9:E14)</f>
        <v>16</v>
      </c>
    </row>
    <row r="32" spans="2:5" x14ac:dyDescent="0.25">
      <c r="B32" s="130"/>
      <c r="C32" s="130"/>
      <c r="D32" s="130"/>
      <c r="E32" s="130"/>
    </row>
    <row r="33" spans="2:7" x14ac:dyDescent="0.25">
      <c r="B33" s="130"/>
      <c r="C33" s="130"/>
      <c r="D33" s="145"/>
      <c r="E33" s="145"/>
      <c r="F33" s="145"/>
      <c r="G33" s="145"/>
    </row>
    <row r="34" spans="2:7" x14ac:dyDescent="0.25">
      <c r="B34" s="130"/>
      <c r="C34" s="130"/>
      <c r="D34" s="145"/>
      <c r="E34" s="145"/>
      <c r="F34" s="145"/>
      <c r="G34" s="145"/>
    </row>
    <row r="35" spans="2:7" x14ac:dyDescent="0.25">
      <c r="B35" s="130"/>
      <c r="C35" s="130"/>
      <c r="D35" s="145"/>
      <c r="E35" s="145"/>
      <c r="F35" s="145"/>
      <c r="G35" s="145"/>
    </row>
    <row r="36" spans="2:7" x14ac:dyDescent="0.25">
      <c r="B36" s="130"/>
      <c r="C36" s="130"/>
      <c r="D36" s="145"/>
      <c r="E36" s="145"/>
      <c r="F36" s="145"/>
      <c r="G36" s="145"/>
    </row>
    <row r="37" spans="2:7" x14ac:dyDescent="0.25">
      <c r="B37" s="130"/>
      <c r="C37" s="130"/>
      <c r="D37" s="145"/>
      <c r="E37" s="145"/>
      <c r="F37" s="145"/>
      <c r="G37" s="145"/>
    </row>
    <row r="38" spans="2:7" x14ac:dyDescent="0.25">
      <c r="B38" s="130"/>
      <c r="C38" s="130"/>
      <c r="D38" s="145"/>
      <c r="E38" s="145"/>
      <c r="F38" s="145"/>
      <c r="G38" s="145"/>
    </row>
    <row r="39" spans="2:7" x14ac:dyDescent="0.25">
      <c r="B39" s="130"/>
      <c r="C39" s="130"/>
      <c r="D39" s="145"/>
      <c r="E39" s="145"/>
      <c r="F39" s="145"/>
      <c r="G39" s="145"/>
    </row>
    <row r="40" spans="2:7" x14ac:dyDescent="0.25">
      <c r="B40" s="130"/>
      <c r="C40" s="130"/>
      <c r="D40" s="145"/>
      <c r="E40" s="145"/>
      <c r="F40" s="145"/>
      <c r="G40" s="145"/>
    </row>
    <row r="41" spans="2:7" x14ac:dyDescent="0.25">
      <c r="B41" s="130"/>
      <c r="C41" s="130"/>
      <c r="D41" s="145"/>
      <c r="E41" s="145"/>
      <c r="F41" s="145"/>
      <c r="G41" s="145"/>
    </row>
    <row r="42" spans="2:7" x14ac:dyDescent="0.25">
      <c r="D42" s="145"/>
      <c r="E42" s="145"/>
      <c r="F42" s="145"/>
      <c r="G42" s="145"/>
    </row>
  </sheetData>
  <mergeCells count="1">
    <mergeCell ref="B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Données</vt:lpstr>
      <vt:lpstr>Effectifs H F</vt:lpstr>
      <vt:lpstr>Pyramide des âges</vt:lpstr>
      <vt:lpstr>Satuts</vt:lpstr>
      <vt:lpstr>Statuts Genres</vt:lpstr>
      <vt:lpstr>Temps de Travail</vt:lpstr>
      <vt:lpstr>Temps de Travail Genre</vt:lpstr>
      <vt:lpstr>Entrées</vt:lpstr>
      <vt:lpstr>Sorties</vt:lpstr>
      <vt:lpstr>Absentéisme</vt:lpstr>
      <vt:lpstr>Rémunération</vt:lpstr>
    </vt:vector>
  </TitlesOfParts>
  <Company>iut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Fanny Huard</cp:lastModifiedBy>
  <dcterms:created xsi:type="dcterms:W3CDTF">2006-09-28T07:58:50Z</dcterms:created>
  <dcterms:modified xsi:type="dcterms:W3CDTF">2022-09-15T17:50:11Z</dcterms:modified>
</cp:coreProperties>
</file>