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Licence Cours\1er Semestre\Analyse transversale des projets - Mr François HEUDE ALAIN\"/>
    </mc:Choice>
  </mc:AlternateContent>
  <xr:revisionPtr revIDLastSave="0" documentId="13_ncr:1_{12E9BCB4-FAE6-48FF-AE33-46FE34D3DE74}" xr6:coauthVersionLast="47" xr6:coauthVersionMax="47" xr10:uidLastSave="{00000000-0000-0000-0000-000000000000}"/>
  <bookViews>
    <workbookView xWindow="-98" yWindow="-98" windowWidth="19396" windowHeight="11596" firstSheet="5" activeTab="5" xr2:uid="{00000000-000D-0000-FFFF-FFFF00000000}"/>
  </bookViews>
  <sheets>
    <sheet name="Données" sheetId="1" r:id="rId1"/>
    <sheet name="17 Etu" sheetId="5" r:id="rId2"/>
    <sheet name="Statut - Sexe" sheetId="6" r:id="rId3"/>
    <sheet name="Statut - Effectif" sheetId="8" r:id="rId4"/>
    <sheet name="Temps Plein,Partiel - Sexe" sheetId="7" r:id="rId5"/>
    <sheet name="Age - Sexe" sheetId="9" r:id="rId6"/>
    <sheet name="Ancienneté - Sexe" sheetId="10" r:id="rId7"/>
    <sheet name="Sorties - Sexe" sheetId="11" r:id="rId8"/>
    <sheet name="Entrées TCD" sheetId="19" r:id="rId9"/>
    <sheet name="Absentéisme TCD" sheetId="17" r:id="rId10"/>
    <sheet name="Rémunération" sheetId="14" r:id="rId11"/>
  </sheets>
  <definedNames>
    <definedName name="_xlnm._FilterDatabase" localSheetId="0" hidden="1">Données!$B$3:$K$83</definedName>
  </definedNames>
  <calcPr calcId="191029"/>
  <pivotCaches>
    <pivotCache cacheId="0" r:id="rId12"/>
    <pivotCache cacheId="1" r:id="rId13"/>
    <pivotCache cacheId="2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8" l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4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C3" i="11"/>
  <c r="R83" i="1"/>
  <c r="S83" i="1" s="1"/>
  <c r="O83" i="1"/>
  <c r="M83" i="1"/>
  <c r="R82" i="1"/>
  <c r="S82" i="1" s="1"/>
  <c r="O82" i="1"/>
  <c r="M82" i="1"/>
  <c r="R81" i="1"/>
  <c r="S81" i="1" s="1"/>
  <c r="O81" i="1"/>
  <c r="M81" i="1"/>
  <c r="R80" i="1"/>
  <c r="S80" i="1" s="1"/>
  <c r="O80" i="1"/>
  <c r="M80" i="1"/>
  <c r="R79" i="1"/>
  <c r="S79" i="1" s="1"/>
  <c r="O79" i="1"/>
  <c r="M79" i="1"/>
  <c r="R78" i="1"/>
  <c r="S78" i="1" s="1"/>
  <c r="O78" i="1"/>
  <c r="M78" i="1"/>
  <c r="R77" i="1"/>
  <c r="S77" i="1" s="1"/>
  <c r="O77" i="1"/>
  <c r="M77" i="1"/>
  <c r="R76" i="1"/>
  <c r="S76" i="1" s="1"/>
  <c r="O76" i="1"/>
  <c r="M76" i="1"/>
  <c r="R75" i="1"/>
  <c r="S75" i="1" s="1"/>
  <c r="O75" i="1"/>
  <c r="M75" i="1"/>
  <c r="R74" i="1"/>
  <c r="S74" i="1" s="1"/>
  <c r="O74" i="1"/>
  <c r="M74" i="1"/>
  <c r="R73" i="1"/>
  <c r="S73" i="1" s="1"/>
  <c r="O73" i="1"/>
  <c r="M73" i="1"/>
  <c r="R72" i="1"/>
  <c r="S72" i="1" s="1"/>
  <c r="O72" i="1"/>
  <c r="M72" i="1"/>
  <c r="R71" i="1"/>
  <c r="S71" i="1" s="1"/>
  <c r="O71" i="1"/>
  <c r="M71" i="1"/>
  <c r="R70" i="1"/>
  <c r="S70" i="1" s="1"/>
  <c r="O70" i="1"/>
  <c r="M70" i="1"/>
  <c r="R69" i="1"/>
  <c r="S69" i="1" s="1"/>
  <c r="O69" i="1"/>
  <c r="M69" i="1"/>
  <c r="R68" i="1"/>
  <c r="S68" i="1" s="1"/>
  <c r="O68" i="1"/>
  <c r="M68" i="1"/>
  <c r="F4" i="14"/>
  <c r="K4" i="14" s="1"/>
  <c r="K9" i="14" s="1"/>
  <c r="K7" i="14"/>
  <c r="J8" i="14"/>
  <c r="J7" i="14"/>
  <c r="J6" i="14"/>
  <c r="J5" i="14"/>
  <c r="J4" i="14"/>
  <c r="I8" i="14"/>
  <c r="H8" i="14"/>
  <c r="G8" i="14"/>
  <c r="F8" i="14"/>
  <c r="K8" i="14" s="1"/>
  <c r="I7" i="14"/>
  <c r="H7" i="14"/>
  <c r="G7" i="14"/>
  <c r="F7" i="14"/>
  <c r="I6" i="14"/>
  <c r="H6" i="14"/>
  <c r="K6" i="14" s="1"/>
  <c r="G6" i="14"/>
  <c r="F6" i="14"/>
  <c r="I5" i="14"/>
  <c r="H5" i="14"/>
  <c r="G5" i="14"/>
  <c r="F5" i="14"/>
  <c r="K5" i="14" s="1"/>
  <c r="I4" i="14"/>
  <c r="H4" i="14"/>
  <c r="G4" i="14"/>
  <c r="J9" i="14" l="1"/>
  <c r="G9" i="14"/>
  <c r="H9" i="14"/>
  <c r="F9" i="14"/>
  <c r="I9" i="14"/>
  <c r="Q4" i="1" l="1"/>
  <c r="R4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I85" i="1"/>
  <c r="AF2" i="1"/>
  <c r="D9" i="11"/>
  <c r="C9" i="11"/>
  <c r="D8" i="11"/>
  <c r="C8" i="11"/>
  <c r="D7" i="11"/>
  <c r="C7" i="11"/>
  <c r="D6" i="11"/>
  <c r="C6" i="11"/>
  <c r="D5" i="11"/>
  <c r="C5" i="11"/>
  <c r="D4" i="11"/>
  <c r="C4" i="11"/>
  <c r="D3" i="11"/>
  <c r="H9" i="8"/>
  <c r="B6" i="8"/>
  <c r="B5" i="8"/>
  <c r="B4" i="8"/>
  <c r="B3" i="8"/>
  <c r="C3" i="7"/>
  <c r="D3" i="7"/>
  <c r="C4" i="7"/>
  <c r="D4" i="7"/>
  <c r="C6" i="6"/>
  <c r="B6" i="6"/>
  <c r="C5" i="6"/>
  <c r="B5" i="6"/>
  <c r="C4" i="6"/>
  <c r="B4" i="6"/>
  <c r="C3" i="6"/>
  <c r="B3" i="6"/>
  <c r="B10" i="8" l="1"/>
  <c r="E5" i="11"/>
  <c r="E7" i="11"/>
  <c r="E4" i="11"/>
  <c r="E3" i="11"/>
  <c r="E6" i="11"/>
  <c r="E9" i="11"/>
  <c r="E8" i="11"/>
  <c r="D4" i="6"/>
  <c r="D5" i="6"/>
  <c r="E3" i="7"/>
  <c r="E4" i="7"/>
  <c r="D6" i="6"/>
  <c r="D3" i="6"/>
  <c r="D8" i="6" l="1"/>
  <c r="E6" i="7"/>
  <c r="E11" i="11"/>
  <c r="O4" i="1"/>
  <c r="O47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AF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4" i="1"/>
  <c r="AF8" i="1"/>
  <c r="AF15" i="1"/>
  <c r="A6" i="5"/>
  <c r="A11" i="5"/>
  <c r="P4" i="1" l="1"/>
  <c r="AF16" i="1"/>
  <c r="AF9" i="1"/>
  <c r="D5" i="9"/>
  <c r="L5" i="9" s="1"/>
  <c r="M5" i="9" s="1"/>
  <c r="E4" i="9"/>
  <c r="K4" i="9" s="1"/>
  <c r="E7" i="9"/>
  <c r="K7" i="9" s="1"/>
  <c r="D7" i="9"/>
  <c r="L7" i="9" s="1"/>
  <c r="M7" i="9" s="1"/>
  <c r="D4" i="9"/>
  <c r="L4" i="9" s="1"/>
  <c r="M4" i="9" s="1"/>
  <c r="D3" i="9"/>
  <c r="L3" i="9" s="1"/>
  <c r="M3" i="9" s="1"/>
  <c r="E6" i="9"/>
  <c r="K6" i="9" s="1"/>
  <c r="D6" i="9"/>
  <c r="L6" i="9" s="1"/>
  <c r="M6" i="9" s="1"/>
  <c r="E3" i="9"/>
  <c r="K3" i="9" s="1"/>
  <c r="E5" i="9"/>
  <c r="K5" i="9" s="1"/>
  <c r="A21" i="5"/>
  <c r="A20" i="5"/>
  <c r="A19" i="5"/>
  <c r="A18" i="5"/>
  <c r="A17" i="5"/>
  <c r="A16" i="5"/>
  <c r="A15" i="5"/>
  <c r="A14" i="5"/>
  <c r="A13" i="5"/>
  <c r="A12" i="5"/>
  <c r="A10" i="5"/>
  <c r="A9" i="5"/>
  <c r="A8" i="5"/>
  <c r="A7" i="5"/>
  <c r="A5" i="5"/>
  <c r="A4" i="5"/>
  <c r="F7" i="9" l="1"/>
  <c r="F4" i="9"/>
  <c r="F6" i="9"/>
  <c r="D5" i="10"/>
  <c r="K5" i="10" s="1"/>
  <c r="L5" i="10" s="1"/>
  <c r="E7" i="10"/>
  <c r="J7" i="10" s="1"/>
  <c r="E5" i="10"/>
  <c r="J5" i="10" s="1"/>
  <c r="D7" i="10"/>
  <c r="K7" i="10" s="1"/>
  <c r="L7" i="10" s="1"/>
  <c r="E4" i="10"/>
  <c r="J4" i="10" s="1"/>
  <c r="D4" i="10"/>
  <c r="K4" i="10" s="1"/>
  <c r="L4" i="10" s="1"/>
  <c r="E6" i="10"/>
  <c r="J6" i="10" s="1"/>
  <c r="D3" i="10"/>
  <c r="K3" i="10" s="1"/>
  <c r="L3" i="10" s="1"/>
  <c r="D6" i="10"/>
  <c r="K6" i="10" s="1"/>
  <c r="L6" i="10" s="1"/>
  <c r="E3" i="10"/>
  <c r="J3" i="10" s="1"/>
  <c r="F3" i="9"/>
  <c r="F5" i="9"/>
  <c r="B8" i="5"/>
  <c r="B6" i="5"/>
  <c r="B17" i="5"/>
  <c r="B20" i="5"/>
  <c r="B7" i="5"/>
  <c r="B10" i="5"/>
  <c r="B14" i="5"/>
  <c r="B18" i="5"/>
  <c r="B21" i="5"/>
  <c r="B4" i="5"/>
  <c r="B11" i="5"/>
  <c r="B15" i="5"/>
  <c r="B19" i="5"/>
  <c r="B5" i="5"/>
  <c r="B9" i="5"/>
  <c r="B13" i="5"/>
  <c r="B12" i="5"/>
  <c r="B16" i="5"/>
  <c r="F9" i="9" l="1"/>
  <c r="F4" i="10"/>
  <c r="F7" i="10"/>
  <c r="F6" i="10"/>
  <c r="F5" i="10"/>
  <c r="F3" i="10"/>
  <c r="F9" i="10" l="1"/>
</calcChain>
</file>

<file path=xl/sharedStrings.xml><?xml version="1.0" encoding="utf-8"?>
<sst xmlns="http://schemas.openxmlformats.org/spreadsheetml/2006/main" count="578" uniqueCount="242">
  <si>
    <t>NOM Prenom</t>
  </si>
  <si>
    <t>Sexe</t>
  </si>
  <si>
    <t>D_Nais</t>
  </si>
  <si>
    <t>D_Arrivée</t>
  </si>
  <si>
    <t>D_Sortie</t>
  </si>
  <si>
    <t>Statut</t>
  </si>
  <si>
    <t>Motif_Sortie</t>
  </si>
  <si>
    <t>Salaire/an</t>
  </si>
  <si>
    <t>M</t>
  </si>
  <si>
    <t>F</t>
  </si>
  <si>
    <t>Individu_01</t>
  </si>
  <si>
    <t>Individu_02</t>
  </si>
  <si>
    <t>Individu_03</t>
  </si>
  <si>
    <t>Individu_04</t>
  </si>
  <si>
    <t>Individu_05</t>
  </si>
  <si>
    <t>Individu_06</t>
  </si>
  <si>
    <t>Individu_07</t>
  </si>
  <si>
    <t>Individu_08</t>
  </si>
  <si>
    <t>Individu_09</t>
  </si>
  <si>
    <t>Individu_10</t>
  </si>
  <si>
    <t>Individu_11</t>
  </si>
  <si>
    <t>Individu_12</t>
  </si>
  <si>
    <t>Individu_13</t>
  </si>
  <si>
    <t>Individu_14</t>
  </si>
  <si>
    <t>Individu_15</t>
  </si>
  <si>
    <t>Individu_16</t>
  </si>
  <si>
    <t>Individu_17</t>
  </si>
  <si>
    <t>Individu_18</t>
  </si>
  <si>
    <t>Individu_19</t>
  </si>
  <si>
    <t>Individu_20</t>
  </si>
  <si>
    <t>Individu_21</t>
  </si>
  <si>
    <t>Individu_22</t>
  </si>
  <si>
    <t>Individu_23</t>
  </si>
  <si>
    <t>Individu_24</t>
  </si>
  <si>
    <t>Individu_25</t>
  </si>
  <si>
    <t>Individu_26</t>
  </si>
  <si>
    <t>Individu_27</t>
  </si>
  <si>
    <t>Individu_28</t>
  </si>
  <si>
    <t>Individu_29</t>
  </si>
  <si>
    <t>Individu_30</t>
  </si>
  <si>
    <t>Individu_31</t>
  </si>
  <si>
    <t>Individu_32</t>
  </si>
  <si>
    <t>Individu_33</t>
  </si>
  <si>
    <t>Individu_34</t>
  </si>
  <si>
    <t>Individu_35</t>
  </si>
  <si>
    <t>Individu_36</t>
  </si>
  <si>
    <t>Individu_37</t>
  </si>
  <si>
    <t>Individu_38</t>
  </si>
  <si>
    <t>Individu_39</t>
  </si>
  <si>
    <t>Individu_40</t>
  </si>
  <si>
    <t>Tps%</t>
  </si>
  <si>
    <t>Absenteisme</t>
  </si>
  <si>
    <t>ENTREPRISE X</t>
  </si>
  <si>
    <t>Individu_41</t>
  </si>
  <si>
    <t>Individu_42</t>
  </si>
  <si>
    <t>Individu_43</t>
  </si>
  <si>
    <t>Individu_44</t>
  </si>
  <si>
    <t>Individu_45</t>
  </si>
  <si>
    <t>Individu_46</t>
  </si>
  <si>
    <t>Individu_47</t>
  </si>
  <si>
    <t>Individu_48</t>
  </si>
  <si>
    <t>Individu_49</t>
  </si>
  <si>
    <t>Individu_50</t>
  </si>
  <si>
    <t>Individu_51</t>
  </si>
  <si>
    <t>Individu_52</t>
  </si>
  <si>
    <t>Individu_53</t>
  </si>
  <si>
    <t>Individu_54</t>
  </si>
  <si>
    <t>Individu_55</t>
  </si>
  <si>
    <t>Individu_56</t>
  </si>
  <si>
    <t>Individu_57</t>
  </si>
  <si>
    <t>Individu_58</t>
  </si>
  <si>
    <t>Individu_59</t>
  </si>
  <si>
    <t>Individu_60</t>
  </si>
  <si>
    <t>Individu_61</t>
  </si>
  <si>
    <t>Individu_62</t>
  </si>
  <si>
    <t>Individu_63</t>
  </si>
  <si>
    <t>Individu_64</t>
  </si>
  <si>
    <t>Individu_65</t>
  </si>
  <si>
    <t>Individu_66</t>
  </si>
  <si>
    <t>Individu_67</t>
  </si>
  <si>
    <t>Individu_68</t>
  </si>
  <si>
    <t>Individu_69</t>
  </si>
  <si>
    <t>Individu_70</t>
  </si>
  <si>
    <t>Individu_71</t>
  </si>
  <si>
    <t>Individu_72</t>
  </si>
  <si>
    <t>Individu_73</t>
  </si>
  <si>
    <t>Individu_74</t>
  </si>
  <si>
    <t>Individu_75</t>
  </si>
  <si>
    <t>Individu_76</t>
  </si>
  <si>
    <t>Individu_77</t>
  </si>
  <si>
    <t>Individu_78</t>
  </si>
  <si>
    <t>Individu_79</t>
  </si>
  <si>
    <t>Individu_80</t>
  </si>
  <si>
    <t xml:space="preserve">Nom Prénom </t>
  </si>
  <si>
    <t>Décès</t>
  </si>
  <si>
    <t>Démission</t>
  </si>
  <si>
    <t>Retraite</t>
  </si>
  <si>
    <t>Licenciement économique</t>
  </si>
  <si>
    <t>Licenciement non éco</t>
  </si>
  <si>
    <t>Fin de contrat</t>
  </si>
  <si>
    <t>Autres</t>
  </si>
  <si>
    <t>Ouvrier</t>
  </si>
  <si>
    <t>Employé</t>
  </si>
  <si>
    <t>Cadre</t>
  </si>
  <si>
    <t>Directeur</t>
  </si>
  <si>
    <t>Salaire</t>
  </si>
  <si>
    <t>salaire brut annuel (prime incluse)</t>
  </si>
  <si>
    <t>Absentéisme</t>
  </si>
  <si>
    <t>Temps%</t>
  </si>
  <si>
    <t>pour les temps partiels</t>
  </si>
  <si>
    <t>en jours d'absence</t>
  </si>
  <si>
    <t>LEGENDE</t>
  </si>
  <si>
    <t>(par convention, le salaire est payé</t>
  </si>
  <si>
    <t xml:space="preserve">   pendant les absences)</t>
  </si>
  <si>
    <t>Il n'y a pas eu de grève, ni de jours chomés</t>
  </si>
  <si>
    <t>Remarques</t>
  </si>
  <si>
    <t>PROBLEME</t>
  </si>
  <si>
    <t>1°)  Elaborer le bilan social</t>
  </si>
  <si>
    <t>Répartition (sexe, âge, ancienneté)</t>
  </si>
  <si>
    <t>Mouvements (entrées et départs)</t>
  </si>
  <si>
    <t>Rémunération</t>
  </si>
  <si>
    <t>Effectif (selon statut, Temps plein et partiel)</t>
  </si>
  <si>
    <t>2°) Proposer une analyse sociale de l'entreprise</t>
  </si>
  <si>
    <t>Outils :</t>
  </si>
  <si>
    <t>Tableau (en unités et en %) [tri à plat]</t>
  </si>
  <si>
    <t>Croisement des paramètres</t>
  </si>
  <si>
    <t>Graphiques (différentes formes)</t>
  </si>
  <si>
    <t>Rapport avec traitement de texte</t>
  </si>
  <si>
    <t>*</t>
  </si>
  <si>
    <t>BILAN SOCIAL</t>
  </si>
  <si>
    <t xml:space="preserve"> </t>
  </si>
  <si>
    <t>Recommandation : ne pas modifier cette feuille</t>
  </si>
  <si>
    <t>Questions liminaires</t>
  </si>
  <si>
    <t>2) Quel est le salarié le plus jeune ?</t>
  </si>
  <si>
    <t>3) Quel est le salarié le plus ancien ?</t>
  </si>
  <si>
    <t>NOM Prénom</t>
  </si>
  <si>
    <t>Groupe</t>
  </si>
  <si>
    <t>D</t>
  </si>
  <si>
    <t>A</t>
  </si>
  <si>
    <t>C</t>
  </si>
  <si>
    <t>E</t>
  </si>
  <si>
    <t>Membres</t>
  </si>
  <si>
    <t>B</t>
  </si>
  <si>
    <t>à cause du RGPD, Numéro</t>
  </si>
  <si>
    <t>AHIDAR Wafa</t>
  </si>
  <si>
    <t>BOUKHENOUNA Marisa</t>
  </si>
  <si>
    <t>CARBALLO Lisa</t>
  </si>
  <si>
    <t>CECCOTTI Emma</t>
  </si>
  <si>
    <t>CHAZALON Aurore</t>
  </si>
  <si>
    <t>COULON Lucas</t>
  </si>
  <si>
    <t>DAVOINE Malory</t>
  </si>
  <si>
    <t>DI MARTINO Camille</t>
  </si>
  <si>
    <t>FERNANDEZ Elisa</t>
  </si>
  <si>
    <t>HUC Elodie</t>
  </si>
  <si>
    <t>JOIE Estelle</t>
  </si>
  <si>
    <t>LAAFOU Ilies</t>
  </si>
  <si>
    <t>PETRUCCI Chloé</t>
  </si>
  <si>
    <t>PIQUE Alice</t>
  </si>
  <si>
    <t>SIMOES Léa</t>
  </si>
  <si>
    <t>SOLA Jessica</t>
  </si>
  <si>
    <t>LP RH AA    2021-2022</t>
  </si>
  <si>
    <t>ATP 02 Bilan Social 30/09/21</t>
  </si>
  <si>
    <t>BOUTEILLES Manon</t>
  </si>
  <si>
    <t>BENHADDOU Yasmina</t>
  </si>
  <si>
    <t>Année 2021</t>
  </si>
  <si>
    <t>1) Quel est l'effectif ETP en fin 2021 ?</t>
  </si>
  <si>
    <t>4) Quelle est la masse salariale de 2021 ?</t>
  </si>
  <si>
    <t>Temps plein</t>
  </si>
  <si>
    <t xml:space="preserve">Temps partiel </t>
  </si>
  <si>
    <t>1 ouvrier</t>
  </si>
  <si>
    <t>2 Employe</t>
  </si>
  <si>
    <t>3 Cadre</t>
  </si>
  <si>
    <t>4 Directeur</t>
  </si>
  <si>
    <t>Étiquettes de lignes</t>
  </si>
  <si>
    <t>Total général</t>
  </si>
  <si>
    <t>Nombre de Sexe</t>
  </si>
  <si>
    <t>Age</t>
  </si>
  <si>
    <t>Ancienneté</t>
  </si>
  <si>
    <t>Catégorie social</t>
  </si>
  <si>
    <t>Catégories</t>
  </si>
  <si>
    <t>Total</t>
  </si>
  <si>
    <t>inférieur à 25 ans</t>
  </si>
  <si>
    <t>25 à 35 ans</t>
  </si>
  <si>
    <t>35 à 40 ans</t>
  </si>
  <si>
    <t>40 à 55 ans</t>
  </si>
  <si>
    <t>supérieur à 55 ans</t>
  </si>
  <si>
    <t>&lt;100%</t>
  </si>
  <si>
    <t>Répartition par Statut et Sexe</t>
  </si>
  <si>
    <t>Répartition Temps plein/ temps partiel et par Sexe</t>
  </si>
  <si>
    <t>Age Max</t>
  </si>
  <si>
    <t>Tranche d'age</t>
  </si>
  <si>
    <t>Répartition par Age et Sexe</t>
  </si>
  <si>
    <t>Répartition par Sexe et Ancienneté</t>
  </si>
  <si>
    <t>inférieur à 5 ans</t>
  </si>
  <si>
    <t>5 et 10 ans</t>
  </si>
  <si>
    <t>30 et 45 ans</t>
  </si>
  <si>
    <t>10 et 30 ans</t>
  </si>
  <si>
    <t>Catégorie ancienneté</t>
  </si>
  <si>
    <t>Motif sortie</t>
  </si>
  <si>
    <t>Mouvements Sorties</t>
  </si>
  <si>
    <t>Effectif</t>
  </si>
  <si>
    <t>Repartition par Effectif/ Statut</t>
  </si>
  <si>
    <t>Temps Partiel</t>
  </si>
  <si>
    <t>Temps Plein</t>
  </si>
  <si>
    <t>Catégorie</t>
  </si>
  <si>
    <t>Pyramide Sexe et Ancienneté</t>
  </si>
  <si>
    <t>0 à 5 ans</t>
  </si>
  <si>
    <t>6 à 10 ans</t>
  </si>
  <si>
    <t>11 à 30 ans</t>
  </si>
  <si>
    <t>31 à 45 ans</t>
  </si>
  <si>
    <t>46 ans et +</t>
  </si>
  <si>
    <t>Pour l'identifier, il faut utiliser la fonction RECHERCHEV et renvoyer le nom du salarié</t>
  </si>
  <si>
    <t>C'est celui qui est entré le premier dans l'entreprise. Utiliser la fonction Min(de la colonne D_Arrivée)</t>
  </si>
  <si>
    <t>Calcul d'un salaire de référence pour chaque salarié sur la base de 12 mois d'activité à 100%</t>
  </si>
  <si>
    <t>Salaire de référence = (Salaire reçu / tps%)*(12 mois / Nb de mois de présence)</t>
  </si>
  <si>
    <t xml:space="preserve">Il faut faire la somme des Tps% pour ceux qui restent </t>
  </si>
  <si>
    <t>En premier trier la base de donnnées selon la colonne J (de Z à A) pour mettre en bas de tableau les salariés sortis avant fin 2021</t>
  </si>
  <si>
    <t>Pyramide Age et Sexe</t>
  </si>
  <si>
    <t>C(Salaire)</t>
  </si>
  <si>
    <t>Nb(mois) 2021</t>
  </si>
  <si>
    <t>Ref Salaire</t>
  </si>
  <si>
    <t>TOTAL</t>
  </si>
  <si>
    <t>inférieur à 30 000 €</t>
  </si>
  <si>
    <t>de 30 000 à 40 000 €</t>
  </si>
  <si>
    <t>de 40 000 à 60 000 €</t>
  </si>
  <si>
    <t>de 60 000 à 120 000 €</t>
  </si>
  <si>
    <t>supérieur à 120 000 €</t>
  </si>
  <si>
    <t xml:space="preserve">Répartition par catégorie de salaire </t>
  </si>
  <si>
    <t>Somme de Absenteisme</t>
  </si>
  <si>
    <t>Étiquettes de colonnes</t>
  </si>
  <si>
    <t>2020</t>
  </si>
  <si>
    <t>C'est celui dont la date de naissance est la plus récente. Utiliser la fonction Max</t>
  </si>
  <si>
    <t>Pour avoir son âge, il suffit de faire la différence avec le 31/12/21 et de diviser par 365,25 jours</t>
  </si>
  <si>
    <t>Pour obtenir son ancienneté, il faut faire la différence avec le 31/12/21 et de diviser par 365,25 jours</t>
  </si>
  <si>
    <t>Prendre la somme des salaires des salariés</t>
  </si>
  <si>
    <t>Salaire à 100% de temps de travail = Salaire perçu / Tps%</t>
  </si>
  <si>
    <t xml:space="preserve">Salaire sur 12 mois = (Salaire perçu / 12 mois) * nb de mois de présence </t>
  </si>
  <si>
    <t>Liens utilisés</t>
  </si>
  <si>
    <t>https://www.excel-exercice.com/pyramide-ages/</t>
  </si>
  <si>
    <t>https://support.microsoft.com/fr-fr/office/cr%C3%A9er-un-tableau-crois%C3%A9-dynamique-pour-analyser-des-donn%C3%A9es-de-feuille-de-calcul-a9a84538-bfe9-40a9-a8e9-f99134456576#:~:text=Cliquez%20sur%20une%20cellule%20dans,le%20nom%20du%20tableau%20s%C3%A9lectionn%C3%A9.</t>
  </si>
  <si>
    <t>https://support.microsoft.com/fr-fr/office/fonction-si-utiliser-des-formules-imbriqu%C3%A9es-et-%C3%A9viter-les-pi%C3%A8ges-0b22ff44-f149-44ba-aeb5-4ef99da241c8</t>
  </si>
  <si>
    <t>Répartition temps plein/ temps partiel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</si>
</sst>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b/>
      <u/>
      <sz val="11"/>
      <color rgb="FFC00000"/>
      <name val="Arial"/>
      <family val="2"/>
    </font>
    <font>
      <b/>
      <sz val="11"/>
      <color theme="1"/>
      <name val="Arial"/>
      <family val="2"/>
    </font>
    <font>
      <b/>
      <u/>
      <sz val="11"/>
      <color theme="3"/>
      <name val="Arial"/>
      <family val="2"/>
    </font>
    <font>
      <u/>
      <sz val="10"/>
      <color rgb="FF0070C0"/>
      <name val="Arial"/>
      <family val="2"/>
    </font>
    <font>
      <b/>
      <u/>
      <sz val="9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0" fontId="0" fillId="4" borderId="2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5" borderId="0" xfId="0" applyFont="1" applyFill="1"/>
    <xf numFmtId="9" fontId="3" fillId="0" borderId="0" xfId="1" applyFont="1" applyBorder="1"/>
    <xf numFmtId="0" fontId="6" fillId="0" borderId="0" xfId="0" applyFont="1"/>
    <xf numFmtId="0" fontId="3" fillId="6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64" fontId="9" fillId="9" borderId="12" xfId="0" applyNumberFormat="1" applyFont="1" applyFill="1" applyBorder="1"/>
    <xf numFmtId="164" fontId="0" fillId="9" borderId="13" xfId="0" applyNumberFormat="1" applyFill="1" applyBorder="1"/>
    <xf numFmtId="0" fontId="0" fillId="9" borderId="14" xfId="0" applyFill="1" applyBorder="1"/>
    <xf numFmtId="164" fontId="0" fillId="9" borderId="15" xfId="0" applyNumberFormat="1" applyFill="1" applyBorder="1"/>
    <xf numFmtId="164" fontId="0" fillId="9" borderId="0" xfId="0" applyNumberFormat="1" applyFill="1"/>
    <xf numFmtId="0" fontId="0" fillId="9" borderId="16" xfId="0" applyFill="1" applyBorder="1"/>
    <xf numFmtId="164" fontId="0" fillId="9" borderId="18" xfId="0" applyNumberFormat="1" applyFill="1" applyBorder="1"/>
    <xf numFmtId="0" fontId="0" fillId="9" borderId="19" xfId="0" applyFill="1" applyBorder="1"/>
    <xf numFmtId="3" fontId="0" fillId="4" borderId="2" xfId="0" applyNumberFormat="1" applyFill="1" applyBorder="1"/>
    <xf numFmtId="164" fontId="1" fillId="9" borderId="15" xfId="0" applyNumberFormat="1" applyFont="1" applyFill="1" applyBorder="1"/>
    <xf numFmtId="164" fontId="1" fillId="9" borderId="17" xfId="0" applyNumberFormat="1" applyFont="1" applyFill="1" applyBorder="1"/>
    <xf numFmtId="0" fontId="4" fillId="2" borderId="8" xfId="0" applyFont="1" applyFill="1" applyBorder="1"/>
    <xf numFmtId="0" fontId="1" fillId="0" borderId="0" xfId="0" applyFont="1"/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3" fontId="0" fillId="4" borderId="21" xfId="0" applyNumberFormat="1" applyFill="1" applyBorder="1"/>
    <xf numFmtId="3" fontId="0" fillId="4" borderId="21" xfId="0" applyNumberFormat="1" applyFill="1" applyBorder="1" applyAlignment="1">
      <alignment horizontal="center"/>
    </xf>
    <xf numFmtId="9" fontId="0" fillId="4" borderId="21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4" fontId="0" fillId="0" borderId="0" xfId="0" applyNumberFormat="1"/>
    <xf numFmtId="164" fontId="0" fillId="4" borderId="27" xfId="0" applyNumberFormat="1" applyFill="1" applyBorder="1"/>
    <xf numFmtId="164" fontId="0" fillId="4" borderId="3" xfId="0" applyNumberFormat="1" applyFill="1" applyBorder="1"/>
    <xf numFmtId="0" fontId="0" fillId="4" borderId="2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0" fillId="4" borderId="0" xfId="0" applyNumberFormat="1" applyFill="1"/>
    <xf numFmtId="164" fontId="0" fillId="4" borderId="13" xfId="0" applyNumberFormat="1" applyFill="1" applyBorder="1"/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0" fillId="0" borderId="12" xfId="0" applyBorder="1"/>
    <xf numFmtId="0" fontId="6" fillId="5" borderId="13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0" fillId="0" borderId="0" xfId="0" applyFont="1" applyAlignment="1">
      <alignment horizontal="center"/>
    </xf>
    <xf numFmtId="0" fontId="3" fillId="10" borderId="14" xfId="0" applyFont="1" applyFill="1" applyBorder="1"/>
    <xf numFmtId="0" fontId="3" fillId="10" borderId="16" xfId="0" applyFont="1" applyFill="1" applyBorder="1"/>
    <xf numFmtId="0" fontId="3" fillId="10" borderId="19" xfId="0" applyFont="1" applyFill="1" applyBorder="1"/>
    <xf numFmtId="0" fontId="3" fillId="12" borderId="14" xfId="0" applyFont="1" applyFill="1" applyBorder="1"/>
    <xf numFmtId="0" fontId="3" fillId="12" borderId="16" xfId="0" applyFont="1" applyFill="1" applyBorder="1"/>
    <xf numFmtId="0" fontId="3" fillId="12" borderId="19" xfId="0" applyFont="1" applyFill="1" applyBorder="1"/>
    <xf numFmtId="0" fontId="3" fillId="13" borderId="14" xfId="0" applyFont="1" applyFill="1" applyBorder="1"/>
    <xf numFmtId="0" fontId="3" fillId="13" borderId="16" xfId="0" applyFont="1" applyFill="1" applyBorder="1"/>
    <xf numFmtId="0" fontId="3" fillId="13" borderId="19" xfId="0" applyFont="1" applyFill="1" applyBorder="1"/>
    <xf numFmtId="0" fontId="3" fillId="14" borderId="14" xfId="0" applyFont="1" applyFill="1" applyBorder="1"/>
    <xf numFmtId="0" fontId="3" fillId="14" borderId="16" xfId="0" applyFont="1" applyFill="1" applyBorder="1"/>
    <xf numFmtId="0" fontId="3" fillId="14" borderId="19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8" borderId="31" xfId="0" applyFont="1" applyFill="1" applyBorder="1"/>
    <xf numFmtId="0" fontId="3" fillId="8" borderId="32" xfId="0" applyFont="1" applyFill="1" applyBorder="1"/>
    <xf numFmtId="0" fontId="3" fillId="8" borderId="33" xfId="0" applyFont="1" applyFill="1" applyBorder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1" fillId="0" borderId="36" xfId="0" applyFont="1" applyBorder="1"/>
    <xf numFmtId="164" fontId="1" fillId="0" borderId="36" xfId="0" applyNumberFormat="1" applyFont="1" applyBorder="1"/>
    <xf numFmtId="164" fontId="1" fillId="0" borderId="37" xfId="0" applyNumberFormat="1" applyFont="1" applyBorder="1"/>
    <xf numFmtId="0" fontId="0" fillId="0" borderId="38" xfId="0" applyBorder="1"/>
    <xf numFmtId="0" fontId="0" fillId="0" borderId="39" xfId="0" applyBorder="1"/>
    <xf numFmtId="0" fontId="1" fillId="0" borderId="35" xfId="0" applyFont="1" applyBorder="1"/>
    <xf numFmtId="0" fontId="0" fillId="0" borderId="40" xfId="0" applyBorder="1"/>
    <xf numFmtId="164" fontId="3" fillId="10" borderId="42" xfId="0" applyNumberFormat="1" applyFont="1" applyFill="1" applyBorder="1" applyAlignment="1">
      <alignment horizontal="center"/>
    </xf>
    <xf numFmtId="0" fontId="1" fillId="0" borderId="44" xfId="0" applyFont="1" applyBorder="1"/>
    <xf numFmtId="0" fontId="0" fillId="0" borderId="44" xfId="0" applyBorder="1"/>
    <xf numFmtId="0" fontId="1" fillId="0" borderId="45" xfId="0" applyFont="1" applyBorder="1"/>
    <xf numFmtId="0" fontId="0" fillId="0" borderId="45" xfId="0" applyBorder="1"/>
    <xf numFmtId="9" fontId="1" fillId="0" borderId="39" xfId="1" applyFont="1" applyBorder="1" applyAlignment="1">
      <alignment horizontal="right"/>
    </xf>
    <xf numFmtId="10" fontId="1" fillId="0" borderId="40" xfId="0" applyNumberFormat="1" applyFont="1" applyBorder="1"/>
    <xf numFmtId="164" fontId="1" fillId="0" borderId="38" xfId="0" applyNumberFormat="1" applyFont="1" applyBorder="1"/>
    <xf numFmtId="0" fontId="1" fillId="0" borderId="39" xfId="0" applyFont="1" applyBorder="1"/>
    <xf numFmtId="164" fontId="1" fillId="0" borderId="39" xfId="0" applyNumberFormat="1" applyFont="1" applyBorder="1"/>
    <xf numFmtId="164" fontId="1" fillId="0" borderId="40" xfId="0" applyNumberFormat="1" applyFont="1" applyBorder="1"/>
    <xf numFmtId="0" fontId="0" fillId="0" borderId="47" xfId="0" applyBorder="1"/>
    <xf numFmtId="0" fontId="0" fillId="13" borderId="0" xfId="0" applyFill="1"/>
    <xf numFmtId="0" fontId="0" fillId="13" borderId="16" xfId="0" applyFill="1" applyBorder="1"/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164" fontId="3" fillId="10" borderId="34" xfId="0" applyNumberFormat="1" applyFont="1" applyFill="1" applyBorder="1" applyAlignment="1">
      <alignment horizontal="center"/>
    </xf>
    <xf numFmtId="164" fontId="3" fillId="19" borderId="34" xfId="0" applyNumberFormat="1" applyFont="1" applyFill="1" applyBorder="1" applyAlignment="1">
      <alignment horizontal="center"/>
    </xf>
    <xf numFmtId="0" fontId="3" fillId="19" borderId="34" xfId="0" applyFont="1" applyFill="1" applyBorder="1" applyAlignment="1">
      <alignment horizontal="center"/>
    </xf>
    <xf numFmtId="0" fontId="3" fillId="21" borderId="34" xfId="0" applyFont="1" applyFill="1" applyBorder="1" applyAlignment="1">
      <alignment horizontal="center"/>
    </xf>
    <xf numFmtId="0" fontId="3" fillId="22" borderId="43" xfId="0" applyFont="1" applyFill="1" applyBorder="1" applyAlignment="1">
      <alignment horizontal="center"/>
    </xf>
    <xf numFmtId="0" fontId="0" fillId="0" borderId="40" xfId="0" applyBorder="1" applyAlignment="1">
      <alignment horizontal="right"/>
    </xf>
    <xf numFmtId="164" fontId="3" fillId="17" borderId="34" xfId="0" applyNumberFormat="1" applyFont="1" applyFill="1" applyBorder="1" applyAlignment="1">
      <alignment horizontal="center"/>
    </xf>
    <xf numFmtId="0" fontId="3" fillId="17" borderId="34" xfId="0" applyFont="1" applyFill="1" applyBorder="1" applyAlignment="1">
      <alignment horizontal="center"/>
    </xf>
    <xf numFmtId="16" fontId="1" fillId="0" borderId="0" xfId="0" applyNumberFormat="1" applyFont="1"/>
    <xf numFmtId="164" fontId="1" fillId="0" borderId="47" xfId="0" applyNumberFormat="1" applyFont="1" applyBorder="1"/>
    <xf numFmtId="14" fontId="1" fillId="0" borderId="38" xfId="0" applyNumberFormat="1" applyFont="1" applyBorder="1"/>
    <xf numFmtId="0" fontId="13" fillId="0" borderId="0" xfId="0" applyFont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2" fontId="8" fillId="23" borderId="34" xfId="0" applyNumberFormat="1" applyFont="1" applyFill="1" applyBorder="1" applyAlignment="1">
      <alignment horizontal="center"/>
    </xf>
    <xf numFmtId="14" fontId="8" fillId="23" borderId="34" xfId="0" applyNumberFormat="1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3" fontId="1" fillId="4" borderId="21" xfId="0" applyNumberFormat="1" applyFont="1" applyFill="1" applyBorder="1"/>
    <xf numFmtId="3" fontId="1" fillId="4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/>
    <xf numFmtId="0" fontId="1" fillId="0" borderId="0" xfId="0" applyFont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" xfId="0" applyFill="1" applyBorder="1" applyAlignment="1">
      <alignment horizontal="center"/>
    </xf>
    <xf numFmtId="164" fontId="0" fillId="25" borderId="3" xfId="0" applyNumberFormat="1" applyFill="1" applyBorder="1"/>
    <xf numFmtId="164" fontId="0" fillId="25" borderId="0" xfId="0" applyNumberFormat="1" applyFill="1"/>
    <xf numFmtId="0" fontId="0" fillId="25" borderId="4" xfId="0" applyFill="1" applyBorder="1" applyAlignment="1">
      <alignment horizontal="center"/>
    </xf>
    <xf numFmtId="3" fontId="0" fillId="25" borderId="2" xfId="0" applyNumberFormat="1" applyFill="1" applyBorder="1"/>
    <xf numFmtId="3" fontId="0" fillId="25" borderId="2" xfId="0" applyNumberFormat="1" applyFill="1" applyBorder="1" applyAlignment="1">
      <alignment horizontal="center"/>
    </xf>
    <xf numFmtId="9" fontId="0" fillId="25" borderId="2" xfId="0" applyNumberFormat="1" applyFill="1" applyBorder="1" applyAlignment="1">
      <alignment horizontal="center"/>
    </xf>
    <xf numFmtId="164" fontId="0" fillId="25" borderId="2" xfId="0" applyNumberFormat="1" applyFill="1" applyBorder="1" applyAlignment="1">
      <alignment horizontal="center"/>
    </xf>
    <xf numFmtId="0" fontId="0" fillId="25" borderId="3" xfId="0" applyFill="1" applyBorder="1" applyAlignment="1">
      <alignment horizontal="center"/>
    </xf>
    <xf numFmtId="2" fontId="0" fillId="25" borderId="4" xfId="0" applyNumberFormat="1" applyFill="1" applyBorder="1" applyAlignment="1">
      <alignment horizontal="center"/>
    </xf>
    <xf numFmtId="3" fontId="0" fillId="25" borderId="4" xfId="0" applyNumberFormat="1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164" fontId="0" fillId="25" borderId="28" xfId="0" applyNumberFormat="1" applyFill="1" applyBorder="1"/>
    <xf numFmtId="164" fontId="0" fillId="25" borderId="18" xfId="0" applyNumberFormat="1" applyFill="1" applyBorder="1"/>
    <xf numFmtId="0" fontId="0" fillId="25" borderId="30" xfId="0" applyFill="1" applyBorder="1" applyAlignment="1">
      <alignment horizontal="center"/>
    </xf>
    <xf numFmtId="3" fontId="0" fillId="25" borderId="26" xfId="0" applyNumberFormat="1" applyFill="1" applyBorder="1"/>
    <xf numFmtId="9" fontId="0" fillId="25" borderId="26" xfId="0" applyNumberFormat="1" applyFill="1" applyBorder="1" applyAlignment="1">
      <alignment horizontal="center"/>
    </xf>
    <xf numFmtId="164" fontId="0" fillId="25" borderId="26" xfId="0" applyNumberForma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2" fontId="0" fillId="25" borderId="30" xfId="0" applyNumberFormat="1" applyFill="1" applyBorder="1" applyAlignment="1">
      <alignment horizontal="center"/>
    </xf>
    <xf numFmtId="3" fontId="0" fillId="25" borderId="30" xfId="0" applyNumberForma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" fillId="10" borderId="38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" fillId="0" borderId="38" xfId="0" applyFont="1" applyBorder="1"/>
    <xf numFmtId="0" fontId="1" fillId="10" borderId="39" xfId="0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14" fillId="10" borderId="49" xfId="0" applyFont="1" applyFill="1" applyBorder="1" applyAlignment="1">
      <alignment horizontal="center" vertical="center"/>
    </xf>
    <xf numFmtId="0" fontId="14" fillId="10" borderId="49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8" fillId="7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1" fillId="13" borderId="31" xfId="0" applyFont="1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/>
    </xf>
    <xf numFmtId="0" fontId="3" fillId="11" borderId="46" xfId="0" applyFont="1" applyFill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164" fontId="3" fillId="15" borderId="41" xfId="0" applyNumberFormat="1" applyFont="1" applyFill="1" applyBorder="1" applyAlignment="1">
      <alignment horizontal="center"/>
    </xf>
    <xf numFmtId="164" fontId="3" fillId="15" borderId="42" xfId="0" applyNumberFormat="1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 wrapText="1"/>
    </xf>
    <xf numFmtId="0" fontId="3" fillId="20" borderId="46" xfId="0" applyFont="1" applyFill="1" applyBorder="1" applyAlignment="1">
      <alignment horizontal="center" wrapText="1"/>
    </xf>
    <xf numFmtId="0" fontId="3" fillId="20" borderId="42" xfId="0" applyFont="1" applyFill="1" applyBorder="1" applyAlignment="1">
      <alignment horizontal="center" wrapText="1"/>
    </xf>
    <xf numFmtId="0" fontId="3" fillId="18" borderId="41" xfId="0" applyFont="1" applyFill="1" applyBorder="1" applyAlignment="1">
      <alignment horizontal="center"/>
    </xf>
    <xf numFmtId="0" fontId="3" fillId="18" borderId="46" xfId="0" applyFont="1" applyFill="1" applyBorder="1" applyAlignment="1">
      <alignment horizontal="center"/>
    </xf>
    <xf numFmtId="0" fontId="3" fillId="18" borderId="42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16" borderId="46" xfId="0" applyFont="1" applyFill="1" applyBorder="1" applyAlignment="1">
      <alignment horizontal="center"/>
    </xf>
    <xf numFmtId="0" fontId="3" fillId="16" borderId="42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1">
    <dxf>
      <alignment horizontal="center"/>
    </dxf>
  </dxfs>
  <tableStyles count="0" defaultTableStyle="TableStyleMedium9" defaultPivotStyle="PivotStyleLight16"/>
  <colors>
    <mruColors>
      <color rgb="FFFFCCFF"/>
      <color rgb="FFFF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/>
              <a:t>Répartition par Statut et Sexe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'Statut - Sexe'!$B$2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'Statut - Sexe'!$A$3:$A$6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'Statut - Sexe'!$B$3:$B$6</c:f>
              <c:numCache>
                <c:formatCode>General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E-4EA5-B529-B91E0FBCE41E}"/>
            </c:ext>
          </c:extLst>
        </c:ser>
        <c:ser>
          <c:idx val="1"/>
          <c:order val="1"/>
          <c:tx>
            <c:strRef>
              <c:f>'Statut - Sexe'!$C$2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'Statut - Sexe'!$A$3:$A$6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'Statut - Sexe'!$C$3:$C$6</c:f>
              <c:numCache>
                <c:formatCode>General</c:formatCode>
                <c:ptCount val="4"/>
                <c:pt idx="0">
                  <c:v>15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E-4EA5-B529-B91E0FBCE41E}"/>
            </c:ext>
          </c:extLst>
        </c:ser>
        <c:ser>
          <c:idx val="2"/>
          <c:order val="2"/>
          <c:tx>
            <c:strRef>
              <c:f>'Statut - Sexe'!$D$2</c:f>
              <c:strCache>
                <c:ptCount val="1"/>
                <c:pt idx="0">
                  <c:v>Total général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'Statut - Sexe'!$A$3:$A$6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'Statut - Sexe'!$D$3:$D$6</c:f>
              <c:numCache>
                <c:formatCode>General</c:formatCode>
                <c:ptCount val="4"/>
                <c:pt idx="0">
                  <c:v>28</c:v>
                </c:pt>
                <c:pt idx="1">
                  <c:v>19</c:v>
                </c:pt>
                <c:pt idx="2">
                  <c:v>13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5E-4EA5-B529-B91E0FBCE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9424831"/>
        <c:axId val="1889428575"/>
      </c:barChart>
      <c:catAx>
        <c:axId val="188942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9428575"/>
        <c:crosses val="autoZero"/>
        <c:auto val="1"/>
        <c:lblAlgn val="ctr"/>
        <c:lblOffset val="100"/>
        <c:noMultiLvlLbl val="0"/>
      </c:catAx>
      <c:valAx>
        <c:axId val="1889428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942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22442291719134"/>
          <c:y val="0.90469316779722575"/>
          <c:w val="0.46748380632980496"/>
          <c:h val="7.0308447911995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[GROUPE_ALEXIA_TARA.xlsx]Absentéisme TCD!Tableau croisé dynamique15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'Absentéisme TCD'!$B$3:$B$4</c:f>
              <c:strCache>
                <c:ptCount val="1"/>
                <c:pt idx="0">
                  <c:v>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'Absentéisme TCD'!$A$5:$A$9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'Absentéisme TCD'!$B$5:$B$9</c:f>
              <c:numCache>
                <c:formatCode>General</c:formatCode>
                <c:ptCount val="4"/>
                <c:pt idx="0">
                  <c:v>187</c:v>
                </c:pt>
                <c:pt idx="1">
                  <c:v>41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81-4DF6-8429-312499A5F94A}"/>
            </c:ext>
          </c:extLst>
        </c:ser>
        <c:ser>
          <c:idx val="1"/>
          <c:order val="1"/>
          <c:tx>
            <c:strRef>
              <c:f>'Absentéisme TCD'!$C$3:$C$4</c:f>
              <c:strCache>
                <c:ptCount val="1"/>
                <c:pt idx="0">
                  <c:v>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'Absentéisme TCD'!$A$5:$A$9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'Absentéisme TCD'!$C$5:$C$9</c:f>
              <c:numCache>
                <c:formatCode>General</c:formatCode>
                <c:ptCount val="4"/>
                <c:pt idx="0">
                  <c:v>158</c:v>
                </c:pt>
                <c:pt idx="1">
                  <c:v>28</c:v>
                </c:pt>
                <c:pt idx="2">
                  <c:v>29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81-4DF6-8429-312499A5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130207"/>
        <c:axId val="1028131455"/>
      </c:lineChart>
      <c:catAx>
        <c:axId val="102813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8131455"/>
        <c:crosses val="autoZero"/>
        <c:auto val="1"/>
        <c:lblAlgn val="ctr"/>
        <c:lblOffset val="100"/>
        <c:noMultiLvlLbl val="0"/>
      </c:catAx>
      <c:valAx>
        <c:axId val="1028131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813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par catégorie de salaire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Rémunération!$F$3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Rémunération!$E$4:$E$8</c:f>
              <c:strCache>
                <c:ptCount val="5"/>
                <c:pt idx="0">
                  <c:v>inférieur à 30 000 €</c:v>
                </c:pt>
                <c:pt idx="1">
                  <c:v>de 30 000 à 40 000 €</c:v>
                </c:pt>
                <c:pt idx="2">
                  <c:v>de 40 000 à 60 000 €</c:v>
                </c:pt>
                <c:pt idx="3">
                  <c:v>de 60 000 à 120 000 €</c:v>
                </c:pt>
                <c:pt idx="4">
                  <c:v>supérieur à 120 000 €</c:v>
                </c:pt>
              </c:strCache>
            </c:strRef>
          </c:cat>
          <c:val>
            <c:numRef>
              <c:f>Rémunération!$F$4:$F$8</c:f>
              <c:numCache>
                <c:formatCode>General</c:formatCode>
                <c:ptCount val="5"/>
                <c:pt idx="0">
                  <c:v>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F-4261-B286-56C2DE2CF021}"/>
            </c:ext>
          </c:extLst>
        </c:ser>
        <c:ser>
          <c:idx val="1"/>
          <c:order val="1"/>
          <c:tx>
            <c:strRef>
              <c:f>Rémunération!$G$3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Rémunération!$E$4:$E$8</c:f>
              <c:strCache>
                <c:ptCount val="5"/>
                <c:pt idx="0">
                  <c:v>inférieur à 30 000 €</c:v>
                </c:pt>
                <c:pt idx="1">
                  <c:v>de 30 000 à 40 000 €</c:v>
                </c:pt>
                <c:pt idx="2">
                  <c:v>de 40 000 à 60 000 €</c:v>
                </c:pt>
                <c:pt idx="3">
                  <c:v>de 60 000 à 120 000 €</c:v>
                </c:pt>
                <c:pt idx="4">
                  <c:v>supérieur à 120 000 €</c:v>
                </c:pt>
              </c:strCache>
            </c:strRef>
          </c:cat>
          <c:val>
            <c:numRef>
              <c:f>Rémunération!$G$4:$G$8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F-4261-B286-56C2DE2CF021}"/>
            </c:ext>
          </c:extLst>
        </c:ser>
        <c:ser>
          <c:idx val="2"/>
          <c:order val="2"/>
          <c:tx>
            <c:strRef>
              <c:f>Rémunération!$H$3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Rémunération!$E$4:$E$8</c:f>
              <c:strCache>
                <c:ptCount val="5"/>
                <c:pt idx="0">
                  <c:v>inférieur à 30 000 €</c:v>
                </c:pt>
                <c:pt idx="1">
                  <c:v>de 30 000 à 40 000 €</c:v>
                </c:pt>
                <c:pt idx="2">
                  <c:v>de 40 000 à 60 000 €</c:v>
                </c:pt>
                <c:pt idx="3">
                  <c:v>de 60 000 à 120 000 €</c:v>
                </c:pt>
                <c:pt idx="4">
                  <c:v>supérieur à 120 000 €</c:v>
                </c:pt>
              </c:strCache>
            </c:strRef>
          </c:cat>
          <c:val>
            <c:numRef>
              <c:f>Rémunération!$H$4:$H$8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F-4261-B286-56C2DE2CF021}"/>
            </c:ext>
          </c:extLst>
        </c:ser>
        <c:ser>
          <c:idx val="3"/>
          <c:order val="3"/>
          <c:tx>
            <c:strRef>
              <c:f>Rémunération!$I$3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Rémunération!$E$4:$E$8</c:f>
              <c:strCache>
                <c:ptCount val="5"/>
                <c:pt idx="0">
                  <c:v>inférieur à 30 000 €</c:v>
                </c:pt>
                <c:pt idx="1">
                  <c:v>de 30 000 à 40 000 €</c:v>
                </c:pt>
                <c:pt idx="2">
                  <c:v>de 40 000 à 60 000 €</c:v>
                </c:pt>
                <c:pt idx="3">
                  <c:v>de 60 000 à 120 000 €</c:v>
                </c:pt>
                <c:pt idx="4">
                  <c:v>supérieur à 120 000 €</c:v>
                </c:pt>
              </c:strCache>
            </c:strRef>
          </c:cat>
          <c:val>
            <c:numRef>
              <c:f>Rémunération!$I$4:$I$8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4F-4261-B286-56C2DE2CF021}"/>
            </c:ext>
          </c:extLst>
        </c:ser>
        <c:ser>
          <c:idx val="4"/>
          <c:order val="4"/>
          <c:tx>
            <c:strRef>
              <c:f>Rémunération!$J$3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Rémunération!$E$4:$E$8</c:f>
              <c:strCache>
                <c:ptCount val="5"/>
                <c:pt idx="0">
                  <c:v>inférieur à 30 000 €</c:v>
                </c:pt>
                <c:pt idx="1">
                  <c:v>de 30 000 à 40 000 €</c:v>
                </c:pt>
                <c:pt idx="2">
                  <c:v>de 40 000 à 60 000 €</c:v>
                </c:pt>
                <c:pt idx="3">
                  <c:v>de 60 000 à 120 000 €</c:v>
                </c:pt>
                <c:pt idx="4">
                  <c:v>supérieur à 120 000 €</c:v>
                </c:pt>
              </c:strCache>
            </c:strRef>
          </c:cat>
          <c:val>
            <c:numRef>
              <c:f>Rémunération!$J$4:$J$8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4F-4261-B286-56C2DE2CF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3331727"/>
        <c:axId val="1813337551"/>
      </c:barChart>
      <c:catAx>
        <c:axId val="18133317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3337551"/>
        <c:crosses val="autoZero"/>
        <c:auto val="1"/>
        <c:lblAlgn val="ctr"/>
        <c:lblOffset val="100"/>
        <c:noMultiLvlLbl val="0"/>
      </c:catAx>
      <c:valAx>
        <c:axId val="1813337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3331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'Statut - Effectif'!$B$2</c:f>
              <c:strCache>
                <c:ptCount val="1"/>
                <c:pt idx="0">
                  <c:v>Effectif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CD-4217-AA06-D74DD20817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CD-4217-AA06-D74DD20817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CD-4217-AA06-D74DD20817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CD-4217-AA06-D74DD20817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BCD-4217-AA06-D74DD20817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BCD-4217-AA06-D74DD2081752}"/>
              </c:ext>
            </c:extLst>
          </c:dPt>
          <c:dLbls>
            <c:dLbl>
              <c:idx val="0"/>
              <c:layout>
                <c:manualLayout>
                  <c:x val="5.1032162317101268E-2"/>
                  <c:y val="-6.520697599118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CD-4217-AA06-D74DD2081752}"/>
                </c:ext>
              </c:extLst>
            </c:dLbl>
            <c:dLbl>
              <c:idx val="1"/>
              <c:layout>
                <c:manualLayout>
                  <c:x val="-8.1316332928463658E-2"/>
                  <c:y val="5.7684445860834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CD-4217-AA06-D74DD2081752}"/>
                </c:ext>
              </c:extLst>
            </c:dLbl>
            <c:dLbl>
              <c:idx val="2"/>
              <c:layout>
                <c:manualLayout>
                  <c:x val="-3.8292233042245848E-2"/>
                  <c:y val="-8.7008590955554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CD-4217-AA06-D74DD2081752}"/>
                </c:ext>
              </c:extLst>
            </c:dLbl>
            <c:dLbl>
              <c:idx val="3"/>
              <c:layout>
                <c:manualLayout>
                  <c:x val="-3.196572414351851E-2"/>
                  <c:y val="-8.3184336767791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CD-4217-AA06-D74DD2081752}"/>
                </c:ext>
              </c:extLst>
            </c:dLbl>
            <c:dLbl>
              <c:idx val="4"/>
              <c:layout>
                <c:manualLayout>
                  <c:x val="-5.3462265284582276E-2"/>
                  <c:y val="-2.4452615996696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CD-4217-AA06-D74DD2081752}"/>
                </c:ext>
              </c:extLst>
            </c:dLbl>
            <c:dLbl>
              <c:idx val="5"/>
              <c:layout>
                <c:manualLayout>
                  <c:x val="-3.4021441544734264E-2"/>
                  <c:y val="-8.1508719988986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CD-4217-AA06-D74DD20817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'Statut - Effectif'!$A$3:$A$6</c:f>
              <c:strCache>
                <c:ptCount val="4"/>
                <c:pt idx="0">
                  <c:v>1 ouvrier</c:v>
                </c:pt>
                <c:pt idx="1">
                  <c:v>2 Employe</c:v>
                </c:pt>
                <c:pt idx="2">
                  <c:v>3 Cadre</c:v>
                </c:pt>
                <c:pt idx="3">
                  <c:v>4 Directeur</c:v>
                </c:pt>
              </c:strCache>
            </c:strRef>
          </c:cat>
          <c:val>
            <c:numRef>
              <c:f>'Statut - Effectif'!$B$3:$B$6</c:f>
              <c:numCache>
                <c:formatCode>General</c:formatCode>
                <c:ptCount val="4"/>
                <c:pt idx="0">
                  <c:v>28</c:v>
                </c:pt>
                <c:pt idx="1">
                  <c:v>19</c:v>
                </c:pt>
                <c:pt idx="2">
                  <c:v>14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BCD-4217-AA06-D74DD2081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003928730246331E-2"/>
          <c:y val="0.90269848416243859"/>
          <c:w val="0.89999985764496371"/>
          <c:h val="7.9757682195636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Temps</a:t>
            </a:r>
            <a:r>
              <a:rPr lang="fr-FR" b="1" baseline="0"/>
              <a:t> plein/ Temps partiel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04C-4626-86E3-013D3AA691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4C-4626-86E3-013D3AA691F5}"/>
              </c:ext>
            </c:extLst>
          </c:dPt>
          <c:dLbls>
            <c:dLbl>
              <c:idx val="0"/>
              <c:layout>
                <c:manualLayout>
                  <c:x val="-7.6975940507436572E-2"/>
                  <c:y val="-0.19233778069407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4C-4626-86E3-013D3AA691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'Statut - Effectif'!$G$8:$G$9</c:f>
              <c:strCache>
                <c:ptCount val="2"/>
                <c:pt idx="0">
                  <c:v>Temps plein</c:v>
                </c:pt>
                <c:pt idx="1">
                  <c:v>Temps partiel </c:v>
                </c:pt>
              </c:strCache>
            </c:strRef>
          </c:cat>
          <c:val>
            <c:numRef>
              <c:f>'Statut - Effectif'!$H$8:$H$9</c:f>
              <c:numCache>
                <c:formatCode>General</c:formatCode>
                <c:ptCount val="2"/>
                <c:pt idx="0">
                  <c:v>54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C-4626-86E3-013D3AA69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Répartition Temps plein/ temps partiel et par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'Temps Plein,Partiel - Sexe'!$B$3</c:f>
              <c:strCache>
                <c:ptCount val="1"/>
                <c:pt idx="0">
                  <c:v>Temps Plein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3795999492055662E-2"/>
                  <c:y val="-3.8702284958524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87-4990-AACD-718AC7D55F2D}"/>
                </c:ext>
              </c:extLst>
            </c:dLbl>
            <c:dLbl>
              <c:idx val="1"/>
              <c:layout>
                <c:manualLayout>
                  <c:x val="-3.8643528963578526E-2"/>
                  <c:y val="-3.4832056462672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87-4990-AACD-718AC7D55F2D}"/>
                </c:ext>
              </c:extLst>
            </c:dLbl>
            <c:dLbl>
              <c:idx val="2"/>
              <c:layout>
                <c:manualLayout>
                  <c:x val="-6.4405881605964208E-2"/>
                  <c:y val="-3.8702284958524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87-4990-AACD-718AC7D55F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'Temps Plein,Partiel - Sexe'!$C$2:$E$2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 général</c:v>
                </c:pt>
              </c:strCache>
            </c:strRef>
          </c:cat>
          <c:val>
            <c:numRef>
              <c:f>'Temps Plein,Partiel - Sexe'!$C$3:$E$3</c:f>
              <c:numCache>
                <c:formatCode>General</c:formatCode>
                <c:ptCount val="3"/>
                <c:pt idx="0">
                  <c:v>25</c:v>
                </c:pt>
                <c:pt idx="1">
                  <c:v>29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87-4990-AACD-718AC7D55F2D}"/>
            </c:ext>
          </c:extLst>
        </c:ser>
        <c:ser>
          <c:idx val="1"/>
          <c:order val="1"/>
          <c:tx>
            <c:strRef>
              <c:f>'Temps Plein,Partiel - Sexe'!$B$4</c:f>
              <c:strCache>
                <c:ptCount val="1"/>
                <c:pt idx="0">
                  <c:v>Temps Partiel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219764227817091E-2"/>
                  <c:y val="-1.5480913983409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87-4990-AACD-718AC7D55F2D}"/>
                </c:ext>
              </c:extLst>
            </c:dLbl>
            <c:dLbl>
              <c:idx val="1"/>
              <c:layout>
                <c:manualLayout>
                  <c:x val="4.1219764227817091E-2"/>
                  <c:y val="-4.6442741950229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87-4990-AACD-718AC7D55F2D}"/>
                </c:ext>
              </c:extLst>
            </c:dLbl>
            <c:dLbl>
              <c:idx val="2"/>
              <c:layout>
                <c:manualLayout>
                  <c:x val="3.6067293699339954E-2"/>
                  <c:y val="-2.3221370975114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87-4990-AACD-718AC7D55F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'Temps Plein,Partiel - Sexe'!$C$2:$E$2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 général</c:v>
                </c:pt>
              </c:strCache>
            </c:strRef>
          </c:cat>
          <c:val>
            <c:numRef>
              <c:f>'Temps Plein,Partiel - Sexe'!$C$4:$E$4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87-4990-AACD-718AC7D55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403535"/>
        <c:axId val="345403951"/>
      </c:barChart>
      <c:catAx>
        <c:axId val="34540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403951"/>
        <c:crosses val="autoZero"/>
        <c:auto val="1"/>
        <c:lblAlgn val="ctr"/>
        <c:lblOffset val="100"/>
        <c:noMultiLvlLbl val="0"/>
      </c:catAx>
      <c:valAx>
        <c:axId val="34540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40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Répartition par Age et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 - Sexe'!$D$2</c:f>
              <c:strCache>
                <c:ptCount val="1"/>
                <c:pt idx="0">
                  <c:v>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 - Sexe'!$C$3:$C$7</c:f>
              <c:strCache>
                <c:ptCount val="5"/>
                <c:pt idx="0">
                  <c:v>inférieur à 25 ans</c:v>
                </c:pt>
                <c:pt idx="1">
                  <c:v>25 à 35 ans</c:v>
                </c:pt>
                <c:pt idx="2">
                  <c:v>35 à 40 ans</c:v>
                </c:pt>
                <c:pt idx="3">
                  <c:v>40 à 55 ans</c:v>
                </c:pt>
                <c:pt idx="4">
                  <c:v>supérieur à 55 ans</c:v>
                </c:pt>
              </c:strCache>
            </c:strRef>
          </c:cat>
          <c:val>
            <c:numRef>
              <c:f>'Age - Sexe'!$D$3:$D$7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EC-49FC-80EC-E903305170ED}"/>
            </c:ext>
          </c:extLst>
        </c:ser>
        <c:ser>
          <c:idx val="1"/>
          <c:order val="1"/>
          <c:tx>
            <c:strRef>
              <c:f>'Age - Sexe'!$E$2</c:f>
              <c:strCache>
                <c:ptCount val="1"/>
                <c:pt idx="0">
                  <c:v>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 - Sexe'!$C$3:$C$7</c:f>
              <c:strCache>
                <c:ptCount val="5"/>
                <c:pt idx="0">
                  <c:v>inférieur à 25 ans</c:v>
                </c:pt>
                <c:pt idx="1">
                  <c:v>25 à 35 ans</c:v>
                </c:pt>
                <c:pt idx="2">
                  <c:v>35 à 40 ans</c:v>
                </c:pt>
                <c:pt idx="3">
                  <c:v>40 à 55 ans</c:v>
                </c:pt>
                <c:pt idx="4">
                  <c:v>supérieur à 55 ans</c:v>
                </c:pt>
              </c:strCache>
            </c:strRef>
          </c:cat>
          <c:val>
            <c:numRef>
              <c:f>'Age - Sexe'!$E$3:$E$7</c:f>
              <c:numCache>
                <c:formatCode>General</c:formatCode>
                <c:ptCount val="5"/>
                <c:pt idx="0">
                  <c:v>2</c:v>
                </c:pt>
                <c:pt idx="1">
                  <c:v>15</c:v>
                </c:pt>
                <c:pt idx="2">
                  <c:v>9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C-49FC-80EC-E903305170ED}"/>
            </c:ext>
          </c:extLst>
        </c:ser>
        <c:ser>
          <c:idx val="2"/>
          <c:order val="2"/>
          <c:tx>
            <c:strRef>
              <c:f>'Age - Sexe'!$F$2</c:f>
              <c:strCache>
                <c:ptCount val="1"/>
                <c:pt idx="0">
                  <c:v>Total général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'Age - Sexe'!$C$3:$C$7</c:f>
              <c:strCache>
                <c:ptCount val="5"/>
                <c:pt idx="0">
                  <c:v>inférieur à 25 ans</c:v>
                </c:pt>
                <c:pt idx="1">
                  <c:v>25 à 35 ans</c:v>
                </c:pt>
                <c:pt idx="2">
                  <c:v>35 à 40 ans</c:v>
                </c:pt>
                <c:pt idx="3">
                  <c:v>40 à 55 ans</c:v>
                </c:pt>
                <c:pt idx="4">
                  <c:v>supérieur à 55 ans</c:v>
                </c:pt>
              </c:strCache>
            </c:strRef>
          </c:cat>
          <c:val>
            <c:numRef>
              <c:f>'Age - Sexe'!$F$3:$F$7</c:f>
              <c:numCache>
                <c:formatCode>General</c:formatCode>
                <c:ptCount val="5"/>
                <c:pt idx="0">
                  <c:v>5</c:v>
                </c:pt>
                <c:pt idx="1">
                  <c:v>23</c:v>
                </c:pt>
                <c:pt idx="2">
                  <c:v>12</c:v>
                </c:pt>
                <c:pt idx="3">
                  <c:v>1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EC-49FC-80EC-E9033051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743087"/>
        <c:axId val="515745999"/>
      </c:lineChart>
      <c:catAx>
        <c:axId val="5157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745999"/>
        <c:crosses val="autoZero"/>
        <c:auto val="1"/>
        <c:lblAlgn val="ctr"/>
        <c:lblOffset val="100"/>
        <c:noMultiLvlLbl val="0"/>
      </c:catAx>
      <c:valAx>
        <c:axId val="51574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7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49634930057236"/>
          <c:y val="0.90377259496077555"/>
          <c:w val="0.5109367041240952"/>
          <c:h val="7.09875602675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Pyramide Age et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'Age - Sexe'!$K$2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'Age - Sexe'!$J$3:$J$7</c:f>
              <c:strCache>
                <c:ptCount val="5"/>
                <c:pt idx="0">
                  <c:v>inférieur à 25 ans</c:v>
                </c:pt>
                <c:pt idx="1">
                  <c:v>25 à 35 ans</c:v>
                </c:pt>
                <c:pt idx="2">
                  <c:v>35 à 40 ans</c:v>
                </c:pt>
                <c:pt idx="3">
                  <c:v>40 à 55 ans</c:v>
                </c:pt>
                <c:pt idx="4">
                  <c:v>supérieur à 55 ans</c:v>
                </c:pt>
              </c:strCache>
            </c:strRef>
          </c:cat>
          <c:val>
            <c:numRef>
              <c:f>'Age - Sexe'!$K$3:$K$7</c:f>
              <c:numCache>
                <c:formatCode>General</c:formatCode>
                <c:ptCount val="5"/>
                <c:pt idx="0">
                  <c:v>2</c:v>
                </c:pt>
                <c:pt idx="1">
                  <c:v>15</c:v>
                </c:pt>
                <c:pt idx="2">
                  <c:v>9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8-4225-AFFA-0CD665B93C5F}"/>
            </c:ext>
          </c:extLst>
        </c:ser>
        <c:ser>
          <c:idx val="1"/>
          <c:order val="1"/>
          <c:tx>
            <c:strRef>
              <c:f>'Age - Sexe'!$M$2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'Age - Sexe'!$J$3:$J$7</c:f>
              <c:strCache>
                <c:ptCount val="5"/>
                <c:pt idx="0">
                  <c:v>inférieur à 25 ans</c:v>
                </c:pt>
                <c:pt idx="1">
                  <c:v>25 à 35 ans</c:v>
                </c:pt>
                <c:pt idx="2">
                  <c:v>35 à 40 ans</c:v>
                </c:pt>
                <c:pt idx="3">
                  <c:v>40 à 55 ans</c:v>
                </c:pt>
                <c:pt idx="4">
                  <c:v>supérieur à 55 ans</c:v>
                </c:pt>
              </c:strCache>
            </c:strRef>
          </c:cat>
          <c:val>
            <c:numRef>
              <c:f>'Age - Sexe'!$M$3:$M$7</c:f>
              <c:numCache>
                <c:formatCode>General</c:formatCode>
                <c:ptCount val="5"/>
                <c:pt idx="0">
                  <c:v>-3</c:v>
                </c:pt>
                <c:pt idx="1">
                  <c:v>-8</c:v>
                </c:pt>
                <c:pt idx="2">
                  <c:v>-3</c:v>
                </c:pt>
                <c:pt idx="3">
                  <c:v>-1</c:v>
                </c:pt>
                <c:pt idx="4">
                  <c:v>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8-4225-AFFA-0CD665B93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15291215"/>
        <c:axId val="2015290383"/>
      </c:barChart>
      <c:catAx>
        <c:axId val="2015291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5290383"/>
        <c:crosses val="autoZero"/>
        <c:auto val="1"/>
        <c:lblAlgn val="ctr"/>
        <c:lblOffset val="100"/>
        <c:noMultiLvlLbl val="0"/>
      </c:catAx>
      <c:valAx>
        <c:axId val="2015290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5291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Répartition par Sexe et Ancienneté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'Ancienneté - Sexe'!$D$2</c:f>
              <c:strCache>
                <c:ptCount val="1"/>
                <c:pt idx="0">
                  <c:v>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'Ancienneté - Sexe'!$C$3:$C$7</c:f>
              <c:strCache>
                <c:ptCount val="5"/>
                <c:pt idx="0">
                  <c:v>inférieur à 5 ans</c:v>
                </c:pt>
                <c:pt idx="1">
                  <c:v>5 et 10 ans</c:v>
                </c:pt>
                <c:pt idx="2">
                  <c:v>10 et 30 ans</c:v>
                </c:pt>
                <c:pt idx="3">
                  <c:v>30 et 45 ans</c:v>
                </c:pt>
                <c:pt idx="4">
                  <c:v>supérieur à 55 ans</c:v>
                </c:pt>
              </c:strCache>
            </c:strRef>
          </c:cat>
          <c:val>
            <c:numRef>
              <c:f>'Ancienneté - Sexe'!$D$3:$D$7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18-4345-AC41-6BEC4FBB63EF}"/>
            </c:ext>
          </c:extLst>
        </c:ser>
        <c:ser>
          <c:idx val="1"/>
          <c:order val="1"/>
          <c:tx>
            <c:strRef>
              <c:f>'Ancienneté - Sexe'!$E$2</c:f>
              <c:strCache>
                <c:ptCount val="1"/>
                <c:pt idx="0">
                  <c:v>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'Ancienneté - Sexe'!$C$3:$C$7</c:f>
              <c:strCache>
                <c:ptCount val="5"/>
                <c:pt idx="0">
                  <c:v>inférieur à 5 ans</c:v>
                </c:pt>
                <c:pt idx="1">
                  <c:v>5 et 10 ans</c:v>
                </c:pt>
                <c:pt idx="2">
                  <c:v>10 et 30 ans</c:v>
                </c:pt>
                <c:pt idx="3">
                  <c:v>30 et 45 ans</c:v>
                </c:pt>
                <c:pt idx="4">
                  <c:v>supérieur à 55 ans</c:v>
                </c:pt>
              </c:strCache>
            </c:strRef>
          </c:cat>
          <c:val>
            <c:numRef>
              <c:f>'Ancienneté - Sexe'!$E$3:$E$7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18-4345-AC41-6BEC4FBB63EF}"/>
            </c:ext>
          </c:extLst>
        </c:ser>
        <c:ser>
          <c:idx val="2"/>
          <c:order val="2"/>
          <c:tx>
            <c:strRef>
              <c:f>'Ancienneté - Sexe'!$F$2</c:f>
              <c:strCache>
                <c:ptCount val="1"/>
                <c:pt idx="0">
                  <c:v>Total général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'Ancienneté - Sexe'!$C$3:$C$7</c:f>
              <c:strCache>
                <c:ptCount val="5"/>
                <c:pt idx="0">
                  <c:v>inférieur à 5 ans</c:v>
                </c:pt>
                <c:pt idx="1">
                  <c:v>5 et 10 ans</c:v>
                </c:pt>
                <c:pt idx="2">
                  <c:v>10 et 30 ans</c:v>
                </c:pt>
                <c:pt idx="3">
                  <c:v>30 et 45 ans</c:v>
                </c:pt>
                <c:pt idx="4">
                  <c:v>supérieur à 55 ans</c:v>
                </c:pt>
              </c:strCache>
            </c:strRef>
          </c:cat>
          <c:val>
            <c:numRef>
              <c:f>'Ancienneté - Sexe'!$F$3:$F$7</c:f>
              <c:numCache>
                <c:formatCode>General</c:formatCode>
                <c:ptCount val="5"/>
                <c:pt idx="0">
                  <c:v>18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18-4345-AC41-6BEC4FBB6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684127"/>
        <c:axId val="339684543"/>
      </c:lineChart>
      <c:catAx>
        <c:axId val="33968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684543"/>
        <c:crosses val="autoZero"/>
        <c:auto val="1"/>
        <c:lblAlgn val="ctr"/>
        <c:lblOffset val="100"/>
        <c:noMultiLvlLbl val="0"/>
      </c:catAx>
      <c:valAx>
        <c:axId val="33968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684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35299358236489"/>
          <c:y val="0.89820120919221558"/>
          <c:w val="0.59123015184723826"/>
          <c:h val="7.5097606494625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Pyramide Sexe et Ancienneté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'Ancienneté - Sexe'!$J$2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'Ancienneté - Sexe'!$I$3:$I$7</c:f>
              <c:strCache>
                <c:ptCount val="5"/>
                <c:pt idx="0">
                  <c:v>0 à 5 ans</c:v>
                </c:pt>
                <c:pt idx="1">
                  <c:v>6 à 10 ans</c:v>
                </c:pt>
                <c:pt idx="2">
                  <c:v>11 à 30 ans</c:v>
                </c:pt>
                <c:pt idx="3">
                  <c:v>31 à 45 ans</c:v>
                </c:pt>
                <c:pt idx="4">
                  <c:v>46 ans et +</c:v>
                </c:pt>
              </c:strCache>
            </c:strRef>
          </c:cat>
          <c:val>
            <c:numRef>
              <c:f>'Ancienneté - Sexe'!$J$3:$J$7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5-43F4-BB75-47A7A6A5B773}"/>
            </c:ext>
          </c:extLst>
        </c:ser>
        <c:ser>
          <c:idx val="1"/>
          <c:order val="1"/>
          <c:tx>
            <c:strRef>
              <c:f>'Ancienneté - Sexe'!$L$2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'Ancienneté - Sexe'!$I$3:$I$7</c:f>
              <c:strCache>
                <c:ptCount val="5"/>
                <c:pt idx="0">
                  <c:v>0 à 5 ans</c:v>
                </c:pt>
                <c:pt idx="1">
                  <c:v>6 à 10 ans</c:v>
                </c:pt>
                <c:pt idx="2">
                  <c:v>11 à 30 ans</c:v>
                </c:pt>
                <c:pt idx="3">
                  <c:v>31 à 45 ans</c:v>
                </c:pt>
                <c:pt idx="4">
                  <c:v>46 ans et +</c:v>
                </c:pt>
              </c:strCache>
            </c:strRef>
          </c:cat>
          <c:val>
            <c:numRef>
              <c:f>'Ancienneté - Sexe'!$L$3:$L$7</c:f>
              <c:numCache>
                <c:formatCode>General</c:formatCode>
                <c:ptCount val="5"/>
                <c:pt idx="0">
                  <c:v>-6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55-43F4-BB75-47A7A6A5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42321760"/>
        <c:axId val="1342325088"/>
      </c:barChart>
      <c:catAx>
        <c:axId val="134232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2325088"/>
        <c:crosses val="autoZero"/>
        <c:auto val="1"/>
        <c:lblAlgn val="ctr"/>
        <c:lblOffset val="100"/>
        <c:noMultiLvlLbl val="0"/>
      </c:catAx>
      <c:valAx>
        <c:axId val="134232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232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Mouvements sorties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'Sorties - Sexe'!$C$2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'Sorties - Sexe'!$B$3:$B$9</c:f>
              <c:strCache>
                <c:ptCount val="7"/>
                <c:pt idx="0">
                  <c:v>Décès</c:v>
                </c:pt>
                <c:pt idx="1">
                  <c:v>Démission</c:v>
                </c:pt>
                <c:pt idx="2">
                  <c:v>Retraite</c:v>
                </c:pt>
                <c:pt idx="3">
                  <c:v>Licenciement économique</c:v>
                </c:pt>
                <c:pt idx="4">
                  <c:v>Licenciement non éco</c:v>
                </c:pt>
                <c:pt idx="5">
                  <c:v>Fin de contrat</c:v>
                </c:pt>
                <c:pt idx="6">
                  <c:v>Autres</c:v>
                </c:pt>
              </c:strCache>
            </c:strRef>
          </c:cat>
          <c:val>
            <c:numRef>
              <c:f>'Sorties - Sexe'!$C$3:$C$9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B-4A5B-A46A-8F752B46B4FF}"/>
            </c:ext>
          </c:extLst>
        </c:ser>
        <c:ser>
          <c:idx val="1"/>
          <c:order val="1"/>
          <c:tx>
            <c:strRef>
              <c:f>'Sorties - Sexe'!$D$2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'Sorties - Sexe'!$B$3:$B$9</c:f>
              <c:strCache>
                <c:ptCount val="7"/>
                <c:pt idx="0">
                  <c:v>Décès</c:v>
                </c:pt>
                <c:pt idx="1">
                  <c:v>Démission</c:v>
                </c:pt>
                <c:pt idx="2">
                  <c:v>Retraite</c:v>
                </c:pt>
                <c:pt idx="3">
                  <c:v>Licenciement économique</c:v>
                </c:pt>
                <c:pt idx="4">
                  <c:v>Licenciement non éco</c:v>
                </c:pt>
                <c:pt idx="5">
                  <c:v>Fin de contrat</c:v>
                </c:pt>
                <c:pt idx="6">
                  <c:v>Autres</c:v>
                </c:pt>
              </c:strCache>
            </c:strRef>
          </c:cat>
          <c:val>
            <c:numRef>
              <c:f>'Sorties - Sexe'!$D$3:$D$9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B-4A5B-A46A-8F752B46B4FF}"/>
            </c:ext>
          </c:extLst>
        </c:ser>
        <c:ser>
          <c:idx val="2"/>
          <c:order val="2"/>
          <c:tx>
            <c:strRef>
              <c:f>'Sorties - Sexe'!$E$2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'Sorties - Sexe'!$B$3:$B$9</c:f>
              <c:strCache>
                <c:ptCount val="7"/>
                <c:pt idx="0">
                  <c:v>Décès</c:v>
                </c:pt>
                <c:pt idx="1">
                  <c:v>Démission</c:v>
                </c:pt>
                <c:pt idx="2">
                  <c:v>Retraite</c:v>
                </c:pt>
                <c:pt idx="3">
                  <c:v>Licenciement économique</c:v>
                </c:pt>
                <c:pt idx="4">
                  <c:v>Licenciement non éco</c:v>
                </c:pt>
                <c:pt idx="5">
                  <c:v>Fin de contrat</c:v>
                </c:pt>
                <c:pt idx="6">
                  <c:v>Autres</c:v>
                </c:pt>
              </c:strCache>
            </c:strRef>
          </c:cat>
          <c:val>
            <c:numRef>
              <c:f>'Sorties - Sexe'!$E$3:$E$9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B-4A5B-A46A-8F752B46B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504911"/>
        <c:axId val="656506991"/>
      </c:barChart>
      <c:catAx>
        <c:axId val="65650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06991"/>
        <c:crosses val="autoZero"/>
        <c:auto val="1"/>
        <c:lblAlgn val="ctr"/>
        <c:lblOffset val="100"/>
        <c:noMultiLvlLbl val="0"/>
      </c:catAx>
      <c:valAx>
        <c:axId val="656506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0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72377223102848"/>
          <c:y val="0.89728815979792054"/>
          <c:w val="0.40831389940324758"/>
          <c:h val="7.7753241342445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6</xdr:col>
      <xdr:colOff>243277</xdr:colOff>
      <xdr:row>27</xdr:row>
      <xdr:rowOff>149243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8A50ED8-8E17-4957-B268-6469BCFD4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12</xdr:row>
      <xdr:rowOff>95250</xdr:rowOff>
    </xdr:from>
    <xdr:to>
      <xdr:col>5</xdr:col>
      <xdr:colOff>512796</xdr:colOff>
      <xdr:row>31</xdr:row>
      <xdr:rowOff>103198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00D98EE-CF5A-41F7-BB89-5D6426CC18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1207293</xdr:colOff>
      <xdr:row>10</xdr:row>
      <xdr:rowOff>145256</xdr:rowOff>
    </xdr:from>
    <xdr:to>
      <xdr:col>11</xdr:col>
      <xdr:colOff>616743</xdr:colOff>
      <xdr:row>27</xdr:row>
      <xdr:rowOff>135731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0F1202A-FD9B-0D81-C39E-14F5291B8D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71438</xdr:rowOff>
    </xdr:from>
    <xdr:to>
      <xdr:col>7</xdr:col>
      <xdr:colOff>1119</xdr:colOff>
      <xdr:row>27</xdr:row>
      <xdr:rowOff>116342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76BAC2-FAE1-4846-9ADF-2049AFBCE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66675</xdr:rowOff>
    </xdr:from>
    <xdr:to>
      <xdr:col>6</xdr:col>
      <xdr:colOff>624471</xdr:colOff>
      <xdr:row>29</xdr:row>
      <xdr:rowOff>20070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7811D79-253E-4200-9B80-20E7FA720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492917</xdr:colOff>
      <xdr:row>10</xdr:row>
      <xdr:rowOff>76200</xdr:rowOff>
    </xdr:from>
    <xdr:to>
      <xdr:col>13</xdr:col>
      <xdr:colOff>466724</xdr:colOff>
      <xdr:row>29</xdr:row>
      <xdr:rowOff>50005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08503E9-DBC9-7B77-E503-82796CBF0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90488</xdr:colOff>
      <xdr:row>11</xdr:row>
      <xdr:rowOff>57150</xdr:rowOff>
    </xdr:from>
    <xdr:to>
      <xdr:col>6</xdr:col>
      <xdr:colOff>463664</xdr:colOff>
      <xdr:row>29</xdr:row>
      <xdr:rowOff>16399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BE1D4D2-BF8F-4141-847A-08ADDA396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14</xdr:col>
      <xdr:colOff>559594</xdr:colOff>
      <xdr:row>26</xdr:row>
      <xdr:rowOff>116085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86CB4EA-A3CA-4432-AC53-C1C6DFF75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90488</xdr:rowOff>
    </xdr:from>
    <xdr:to>
      <xdr:col>7</xdr:col>
      <xdr:colOff>692267</xdr:colOff>
      <xdr:row>31</xdr:row>
      <xdr:rowOff>73894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7755A0D-8572-4279-B180-004710016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16667</xdr:rowOff>
    </xdr:from>
    <xdr:to>
      <xdr:col>4</xdr:col>
      <xdr:colOff>4763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5FC4B82-4250-5309-8138-8B8341B04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</xdr:colOff>
      <xdr:row>9</xdr:row>
      <xdr:rowOff>154781</xdr:rowOff>
    </xdr:from>
    <xdr:to>
      <xdr:col>10</xdr:col>
      <xdr:colOff>719137</xdr:colOff>
      <xdr:row>31</xdr:row>
      <xdr:rowOff>4763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40DC762-8139-4303-ADAF-A8154290D0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imum" refreshedDate="44813.637541435186" createdVersion="8" refreshedVersion="8" minRefreshableVersion="3" recordCount="64" xr:uid="{BC9C2D12-29C4-444C-8958-0887D8B7553A}">
  <cacheSource type="worksheet">
    <worksheetSource ref="C3:C67" sheet="Données"/>
  </cacheSource>
  <cacheFields count="1">
    <cacheField name="Sexe" numFmtId="0">
      <sharedItems count="2">
        <s v="M"/>
        <s v="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" refreshedDate="44817.846626736115" createdVersion="8" refreshedVersion="8" minRefreshableVersion="3" recordCount="64" xr:uid="{63A75396-DCF7-40E0-9BFA-D926B45D461F}">
  <cacheSource type="worksheet">
    <worksheetSource ref="C3:H67" sheet="Données"/>
  </cacheSource>
  <cacheFields count="6">
    <cacheField name="Sexe" numFmtId="0">
      <sharedItems count="2">
        <s v="M"/>
        <s v="F"/>
      </sharedItems>
    </cacheField>
    <cacheField name="D_Nais" numFmtId="164">
      <sharedItems containsSemiMixedTypes="0" containsNonDate="0" containsDate="1" containsString="0" minDate="1960-12-17T00:00:00" maxDate="1999-01-14T00:00:00"/>
    </cacheField>
    <cacheField name="D_Arrivée" numFmtId="164">
      <sharedItems containsSemiMixedTypes="0" containsNonDate="0" containsDate="1" containsString="0" minDate="1979-03-01T00:00:00" maxDate="2021-09-02T00:00:00"/>
    </cacheField>
    <cacheField name="Statut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Salaire/an" numFmtId="3">
      <sharedItems containsSemiMixedTypes="0" containsString="0" containsNumber="1" containsInteger="1" minValue="16844" maxValue="153446"/>
    </cacheField>
    <cacheField name="Absenteisme" numFmtId="0">
      <sharedItems containsSemiMixedTypes="0" containsString="0" containsNumber="1" containsInteger="1" minValue="0" maxValue="1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" refreshedDate="44818.758778587966" createdVersion="8" refreshedVersion="8" minRefreshableVersion="3" recordCount="80" xr:uid="{399A3884-409A-4372-9D23-D28DF9A0C7B6}">
  <cacheSource type="worksheet">
    <worksheetSource ref="B3:I83" sheet="Données"/>
  </cacheSource>
  <cacheFields count="10">
    <cacheField name="NOM Prenom" numFmtId="0">
      <sharedItems/>
    </cacheField>
    <cacheField name="Sexe" numFmtId="0">
      <sharedItems count="2">
        <s v="M"/>
        <s v="F"/>
      </sharedItems>
    </cacheField>
    <cacheField name="D_Nais" numFmtId="164">
      <sharedItems containsSemiMixedTypes="0" containsNonDate="0" containsDate="1" containsString="0" minDate="1959-08-18T00:00:00" maxDate="1999-01-14T00:00:00"/>
    </cacheField>
    <cacheField name="D_Arrivée" numFmtId="164">
      <sharedItems containsSemiMixedTypes="0" containsNonDate="0" containsDate="1" containsString="0" minDate="1978-03-01T00:00:00" maxDate="2021-09-02T00:00:00" count="50">
        <d v="2004-05-01T00:00:00"/>
        <d v="1989-08-01T00:00:00"/>
        <d v="2003-02-01T00:00:00"/>
        <d v="2013-03-01T00:00:00"/>
        <d v="2002-01-01T00:00:00"/>
        <d v="2017-06-01T00:00:00"/>
        <d v="2019-08-01T00:00:00"/>
        <d v="2013-11-01T00:00:00"/>
        <d v="2005-11-01T00:00:00"/>
        <d v="2010-07-01T00:00:00"/>
        <d v="2014-12-01T00:00:00"/>
        <d v="1989-07-01T00:00:00"/>
        <d v="1983-02-01T00:00:00"/>
        <d v="1994-12-01T00:00:00"/>
        <d v="1998-09-01T00:00:00"/>
        <d v="1996-05-01T00:00:00"/>
        <d v="2001-01-01T00:00:00"/>
        <d v="2012-06-01T00:00:00"/>
        <d v="2002-11-01T00:00:00"/>
        <d v="2016-05-01T00:00:00"/>
        <d v="2006-12-01T00:00:00"/>
        <d v="2018-12-01T00:00:00"/>
        <d v="2008-08-01T00:00:00"/>
        <d v="2014-03-01T00:00:00"/>
        <d v="2014-09-01T00:00:00"/>
        <d v="2012-04-01T00:00:00"/>
        <d v="2018-01-01T00:00:00"/>
        <d v="2016-08-01T00:00:00"/>
        <d v="2015-06-01T00:00:00"/>
        <d v="2018-07-01T00:00:00"/>
        <d v="2019-06-01T00:00:00"/>
        <d v="1979-03-01T00:00:00"/>
        <d v="2019-01-01T00:00:00"/>
        <d v="2018-08-01T00:00:00"/>
        <d v="2021-09-01T00:00:00"/>
        <d v="1990-11-01T00:00:00"/>
        <d v="2005-10-01T00:00:00"/>
        <d v="2020-08-01T00:00:00"/>
        <d v="1983-07-01T00:00:00"/>
        <d v="2004-10-01T00:00:00"/>
        <d v="1978-03-01T00:00:00"/>
        <d v="2017-07-01T00:00:00"/>
        <d v="1997-09-01T00:00:00"/>
        <d v="2020-05-01T00:00:00"/>
        <d v="2018-04-01T00:00:00"/>
        <d v="2002-02-01T00:00:00"/>
        <d v="1989-11-01T00:00:00"/>
        <d v="2003-05-01T00:00:00"/>
        <d v="2004-11-01T00:00:00"/>
        <d v="1988-08-01T00:00:00"/>
      </sharedItems>
      <fieldGroup par="9" base="3">
        <rangePr groupBy="months" startDate="1978-03-01T00:00:00" endDate="2021-09-02T00:00:00"/>
        <groupItems count="14">
          <s v="&lt;01/03/197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2/09/2021"/>
        </groupItems>
      </fieldGroup>
    </cacheField>
    <cacheField name="Statut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Salaire/an" numFmtId="3">
      <sharedItems containsSemiMixedTypes="0" containsString="0" containsNumber="1" containsInteger="1" minValue="4375" maxValue="153446"/>
    </cacheField>
    <cacheField name="Absenteisme" numFmtId="0">
      <sharedItems containsSemiMixedTypes="0" containsString="0" containsNumber="1" containsInteger="1" minValue="0" maxValue="110"/>
    </cacheField>
    <cacheField name="Tps%" numFmtId="9">
      <sharedItems containsSemiMixedTypes="0" containsString="0" containsNumber="1" minValue="0.5" maxValue="1"/>
    </cacheField>
    <cacheField name="Trimestres" numFmtId="0" databaseField="0">
      <fieldGroup base="3">
        <rangePr groupBy="quarters" startDate="1978-03-01T00:00:00" endDate="2021-09-02T00:00:00"/>
        <groupItems count="6">
          <s v="&lt;01/03/1978"/>
          <s v="Trimestre1"/>
          <s v="Trimestre2"/>
          <s v="Trimestre3"/>
          <s v="Trimestre4"/>
          <s v="&gt;02/09/2021"/>
        </groupItems>
      </fieldGroup>
    </cacheField>
    <cacheField name="Années" numFmtId="0" databaseField="0">
      <fieldGroup base="3">
        <rangePr groupBy="years" startDate="1978-03-01T00:00:00" endDate="2021-09-02T00:00:00"/>
        <groupItems count="46">
          <s v="&lt;01/03/1978"/>
          <s v="1978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&gt;02/09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d v="1981-05-22T00:00:00"/>
    <d v="2004-05-01T00:00:00"/>
    <x v="0"/>
    <n v="28175"/>
    <n v="0"/>
  </r>
  <r>
    <x v="1"/>
    <d v="1969-08-13T00:00:00"/>
    <d v="1989-08-01T00:00:00"/>
    <x v="1"/>
    <n v="21906"/>
    <n v="24"/>
  </r>
  <r>
    <x v="1"/>
    <d v="1978-02-08T00:00:00"/>
    <d v="2003-02-01T00:00:00"/>
    <x v="1"/>
    <n v="35152"/>
    <n v="11"/>
  </r>
  <r>
    <x v="0"/>
    <d v="1994-10-04T00:00:00"/>
    <d v="2013-03-01T00:00:00"/>
    <x v="1"/>
    <n v="28269"/>
    <n v="0"/>
  </r>
  <r>
    <x v="0"/>
    <d v="1973-11-06T00:00:00"/>
    <d v="2002-01-01T00:00:00"/>
    <x v="2"/>
    <n v="49929"/>
    <n v="2"/>
  </r>
  <r>
    <x v="0"/>
    <d v="1992-03-16T00:00:00"/>
    <d v="2017-06-01T00:00:00"/>
    <x v="1"/>
    <n v="20234"/>
    <n v="1"/>
  </r>
  <r>
    <x v="1"/>
    <d v="1996-07-29T00:00:00"/>
    <d v="2019-08-01T00:00:00"/>
    <x v="1"/>
    <n v="31481"/>
    <n v="0"/>
  </r>
  <r>
    <x v="1"/>
    <d v="1985-12-02T00:00:00"/>
    <d v="2013-11-01T00:00:00"/>
    <x v="0"/>
    <n v="26961"/>
    <n v="45"/>
  </r>
  <r>
    <x v="1"/>
    <d v="1986-11-10T00:00:00"/>
    <d v="2005-11-01T00:00:00"/>
    <x v="0"/>
    <n v="26059"/>
    <n v="0"/>
  </r>
  <r>
    <x v="1"/>
    <d v="1979-02-24T00:00:00"/>
    <d v="2010-07-01T00:00:00"/>
    <x v="1"/>
    <n v="16844"/>
    <n v="0"/>
  </r>
  <r>
    <x v="0"/>
    <d v="1993-06-17T00:00:00"/>
    <d v="2014-12-01T00:00:00"/>
    <x v="1"/>
    <n v="28882"/>
    <n v="0"/>
  </r>
  <r>
    <x v="0"/>
    <d v="1965-04-02T00:00:00"/>
    <d v="1989-07-01T00:00:00"/>
    <x v="2"/>
    <n v="55313"/>
    <n v="3"/>
  </r>
  <r>
    <x v="0"/>
    <d v="1965-09-01T00:00:00"/>
    <d v="1983-02-01T00:00:00"/>
    <x v="3"/>
    <n v="99367"/>
    <n v="4"/>
  </r>
  <r>
    <x v="1"/>
    <d v="1967-05-20T00:00:00"/>
    <d v="1994-12-01T00:00:00"/>
    <x v="0"/>
    <n v="27374"/>
    <n v="10"/>
  </r>
  <r>
    <x v="1"/>
    <d v="1969-11-29T00:00:00"/>
    <d v="1998-09-01T00:00:00"/>
    <x v="0"/>
    <n v="27482"/>
    <n v="0"/>
  </r>
  <r>
    <x v="0"/>
    <d v="1971-12-20T00:00:00"/>
    <d v="1996-05-01T00:00:00"/>
    <x v="0"/>
    <n v="27579"/>
    <n v="20"/>
  </r>
  <r>
    <x v="0"/>
    <d v="1977-11-30T00:00:00"/>
    <d v="2001-01-01T00:00:00"/>
    <x v="0"/>
    <n v="24385"/>
    <n v="90"/>
  </r>
  <r>
    <x v="1"/>
    <d v="1978-03-18T00:00:00"/>
    <d v="2012-06-01T00:00:00"/>
    <x v="0"/>
    <n v="28418"/>
    <n v="2"/>
  </r>
  <r>
    <x v="1"/>
    <d v="1978-07-16T00:00:00"/>
    <d v="2002-11-01T00:00:00"/>
    <x v="0"/>
    <n v="28264"/>
    <n v="16"/>
  </r>
  <r>
    <x v="0"/>
    <d v="1980-11-22T00:00:00"/>
    <d v="2019-08-01T00:00:00"/>
    <x v="1"/>
    <n v="30969"/>
    <n v="0"/>
  </r>
  <r>
    <x v="1"/>
    <d v="1981-04-20T00:00:00"/>
    <d v="2016-05-01T00:00:00"/>
    <x v="1"/>
    <n v="20523"/>
    <n v="0"/>
  </r>
  <r>
    <x v="0"/>
    <d v="1983-01-28T00:00:00"/>
    <d v="2006-12-01T00:00:00"/>
    <x v="1"/>
    <n v="30759"/>
    <n v="1"/>
  </r>
  <r>
    <x v="0"/>
    <d v="1983-03-12T00:00:00"/>
    <d v="2018-12-01T00:00:00"/>
    <x v="2"/>
    <n v="54566"/>
    <n v="9"/>
  </r>
  <r>
    <x v="1"/>
    <d v="1984-08-23T00:00:00"/>
    <d v="2008-08-01T00:00:00"/>
    <x v="2"/>
    <n v="46356"/>
    <n v="0"/>
  </r>
  <r>
    <x v="0"/>
    <d v="1987-12-06T00:00:00"/>
    <d v="2014-03-01T00:00:00"/>
    <x v="3"/>
    <n v="127272"/>
    <n v="0"/>
  </r>
  <r>
    <x v="0"/>
    <d v="1989-11-03T00:00:00"/>
    <d v="2014-09-01T00:00:00"/>
    <x v="2"/>
    <n v="52174"/>
    <n v="1"/>
  </r>
  <r>
    <x v="0"/>
    <d v="1990-10-12T00:00:00"/>
    <d v="2012-04-01T00:00:00"/>
    <x v="0"/>
    <n v="27082"/>
    <n v="5"/>
  </r>
  <r>
    <x v="0"/>
    <d v="1991-08-04T00:00:00"/>
    <d v="2018-01-01T00:00:00"/>
    <x v="0"/>
    <n v="25951"/>
    <n v="10"/>
  </r>
  <r>
    <x v="0"/>
    <d v="1992-09-08T00:00:00"/>
    <d v="2016-08-01T00:00:00"/>
    <x v="0"/>
    <n v="28732"/>
    <n v="0"/>
  </r>
  <r>
    <x v="1"/>
    <d v="1994-06-17T00:00:00"/>
    <d v="2015-06-01T00:00:00"/>
    <x v="0"/>
    <n v="27082"/>
    <n v="0"/>
  </r>
  <r>
    <x v="0"/>
    <d v="1994-12-30T00:00:00"/>
    <d v="2015-06-01T00:00:00"/>
    <x v="0"/>
    <n v="26252"/>
    <n v="2"/>
  </r>
  <r>
    <x v="1"/>
    <d v="1998-09-27T00:00:00"/>
    <d v="2018-07-01T00:00:00"/>
    <x v="0"/>
    <n v="26059"/>
    <n v="0"/>
  </r>
  <r>
    <x v="0"/>
    <d v="1994-10-26T00:00:00"/>
    <d v="2013-03-01T00:00:00"/>
    <x v="2"/>
    <n v="50237"/>
    <n v="2"/>
  </r>
  <r>
    <x v="1"/>
    <d v="1978-03-19T00:00:00"/>
    <d v="2001-01-01T00:00:00"/>
    <x v="3"/>
    <n v="103749"/>
    <n v="0"/>
  </r>
  <r>
    <x v="0"/>
    <d v="1981-04-28T00:00:00"/>
    <d v="2016-05-01T00:00:00"/>
    <x v="0"/>
    <n v="23826"/>
    <n v="0"/>
  </r>
  <r>
    <x v="0"/>
    <d v="1983-09-04T00:00:00"/>
    <d v="2018-12-01T00:00:00"/>
    <x v="0"/>
    <n v="27903"/>
    <n v="0"/>
  </r>
  <r>
    <x v="0"/>
    <d v="1999-01-13T00:00:00"/>
    <d v="2019-06-01T00:00:00"/>
    <x v="0"/>
    <n v="27854"/>
    <n v="26"/>
  </r>
  <r>
    <x v="0"/>
    <d v="1990-04-17T00:00:00"/>
    <d v="2014-09-01T00:00:00"/>
    <x v="2"/>
    <n v="54312"/>
    <n v="0"/>
  </r>
  <r>
    <x v="1"/>
    <d v="1994-08-14T00:00:00"/>
    <d v="2015-06-01T00:00:00"/>
    <x v="1"/>
    <n v="44203"/>
    <n v="1"/>
  </r>
  <r>
    <x v="0"/>
    <d v="1984-10-26T00:00:00"/>
    <d v="2008-08-01T00:00:00"/>
    <x v="0"/>
    <n v="27680"/>
    <n v="0"/>
  </r>
  <r>
    <x v="1"/>
    <d v="1972-04-11T00:00:00"/>
    <d v="1996-05-01T00:00:00"/>
    <x v="1"/>
    <n v="29245"/>
    <n v="1"/>
  </r>
  <r>
    <x v="0"/>
    <d v="1992-06-21T00:00:00"/>
    <d v="2017-06-01T00:00:00"/>
    <x v="0"/>
    <n v="29109"/>
    <n v="1"/>
  </r>
  <r>
    <x v="1"/>
    <d v="1978-07-12T00:00:00"/>
    <d v="2012-06-01T00:00:00"/>
    <x v="1"/>
    <n v="33352"/>
    <n v="0"/>
  </r>
  <r>
    <x v="1"/>
    <d v="1960-12-17T00:00:00"/>
    <d v="1979-03-01T00:00:00"/>
    <x v="0"/>
    <n v="29545"/>
    <n v="110"/>
  </r>
  <r>
    <x v="1"/>
    <d v="1995-04-18T00:00:00"/>
    <d v="2015-06-01T00:00:00"/>
    <x v="1"/>
    <n v="33734"/>
    <n v="0"/>
  </r>
  <r>
    <x v="0"/>
    <d v="1993-07-15T00:00:00"/>
    <d v="2014-12-01T00:00:00"/>
    <x v="2"/>
    <n v="53110"/>
    <n v="0"/>
  </r>
  <r>
    <x v="1"/>
    <d v="1998-07-14T00:00:00"/>
    <d v="2018-07-01T00:00:00"/>
    <x v="2"/>
    <n v="59173"/>
    <n v="1"/>
  </r>
  <r>
    <x v="0"/>
    <d v="1983-02-17T00:00:00"/>
    <d v="2006-12-01T00:00:00"/>
    <x v="1"/>
    <n v="27529"/>
    <n v="0"/>
  </r>
  <r>
    <x v="0"/>
    <d v="1973-11-22T00:00:00"/>
    <d v="2002-01-01T00:00:00"/>
    <x v="2"/>
    <n v="35644"/>
    <n v="12"/>
  </r>
  <r>
    <x v="1"/>
    <d v="1991-11-25T00:00:00"/>
    <d v="2019-01-01T00:00:00"/>
    <x v="0"/>
    <n v="28605"/>
    <n v="3"/>
  </r>
  <r>
    <x v="1"/>
    <d v="1965-07-31T00:00:00"/>
    <d v="1989-07-01T00:00:00"/>
    <x v="2"/>
    <n v="36555"/>
    <n v="0"/>
  </r>
  <r>
    <x v="0"/>
    <d v="1981-09-01T00:00:00"/>
    <d v="2018-08-01T00:00:00"/>
    <x v="1"/>
    <n v="19864"/>
    <n v="26"/>
  </r>
  <r>
    <x v="1"/>
    <d v="1979-07-26T00:00:00"/>
    <d v="2010-07-01T00:00:00"/>
    <x v="0"/>
    <n v="27914"/>
    <n v="0"/>
  </r>
  <r>
    <x v="0"/>
    <d v="1967-06-14T00:00:00"/>
    <d v="1994-12-01T00:00:00"/>
    <x v="0"/>
    <n v="29146"/>
    <n v="3"/>
  </r>
  <r>
    <x v="0"/>
    <d v="1996-08-23T00:00:00"/>
    <d v="2021-09-01T00:00:00"/>
    <x v="2"/>
    <n v="55420"/>
    <n v="0"/>
  </r>
  <r>
    <x v="0"/>
    <d v="1966-01-11T00:00:00"/>
    <d v="1990-11-01T00:00:00"/>
    <x v="0"/>
    <n v="33306"/>
    <n v="1"/>
  </r>
  <r>
    <x v="1"/>
    <d v="1986-05-26T00:00:00"/>
    <d v="2013-11-01T00:00:00"/>
    <x v="2"/>
    <n v="52441"/>
    <n v="0"/>
  </r>
  <r>
    <x v="0"/>
    <d v="1988-01-19T00:00:00"/>
    <d v="2014-03-01T00:00:00"/>
    <x v="3"/>
    <n v="153446"/>
    <n v="0"/>
  </r>
  <r>
    <x v="1"/>
    <d v="1965-12-04T00:00:00"/>
    <d v="1983-02-01T00:00:00"/>
    <x v="0"/>
    <n v="32704"/>
    <n v="0"/>
  </r>
  <r>
    <x v="1"/>
    <d v="1978-12-10T00:00:00"/>
    <d v="2002-11-01T00:00:00"/>
    <x v="1"/>
    <n v="28774"/>
    <n v="0"/>
  </r>
  <r>
    <x v="1"/>
    <d v="1986-01-11T00:00:00"/>
    <d v="2005-10-01T00:00:00"/>
    <x v="1"/>
    <n v="23432"/>
    <n v="4"/>
  </r>
  <r>
    <x v="0"/>
    <d v="1981-01-05T00:00:00"/>
    <d v="2021-09-01T00:00:00"/>
    <x v="1"/>
    <n v="36340"/>
    <n v="0"/>
  </r>
  <r>
    <x v="0"/>
    <d v="1990-12-11T00:00:00"/>
    <d v="2012-04-01T00:00:00"/>
    <x v="0"/>
    <n v="28309"/>
    <n v="0"/>
  </r>
  <r>
    <x v="1"/>
    <d v="1992-09-25T00:00:00"/>
    <d v="2016-08-01T00:00:00"/>
    <x v="0"/>
    <n v="29519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s v="Individu_01"/>
    <x v="0"/>
    <d v="1981-05-22T00:00:00"/>
    <x v="0"/>
    <x v="0"/>
    <n v="28175"/>
    <n v="0"/>
    <n v="1"/>
  </r>
  <r>
    <s v="Individu_02"/>
    <x v="1"/>
    <d v="1969-08-13T00:00:00"/>
    <x v="1"/>
    <x v="1"/>
    <n v="21906"/>
    <n v="24"/>
    <n v="0.5"/>
  </r>
  <r>
    <s v="Individu_03"/>
    <x v="1"/>
    <d v="1978-02-08T00:00:00"/>
    <x v="2"/>
    <x v="1"/>
    <n v="35152"/>
    <n v="11"/>
    <n v="1"/>
  </r>
  <r>
    <s v="Individu_05"/>
    <x v="0"/>
    <d v="1994-10-04T00:00:00"/>
    <x v="3"/>
    <x v="1"/>
    <n v="28269"/>
    <n v="0"/>
    <n v="1"/>
  </r>
  <r>
    <s v="Individu_06"/>
    <x v="0"/>
    <d v="1973-11-06T00:00:00"/>
    <x v="4"/>
    <x v="2"/>
    <n v="49929"/>
    <n v="2"/>
    <n v="1"/>
  </r>
  <r>
    <s v="Individu_07"/>
    <x v="0"/>
    <d v="1992-03-16T00:00:00"/>
    <x v="5"/>
    <x v="1"/>
    <n v="20234"/>
    <n v="1"/>
    <n v="0.6"/>
  </r>
  <r>
    <s v="Individu_09"/>
    <x v="1"/>
    <d v="1996-07-29T00:00:00"/>
    <x v="6"/>
    <x v="1"/>
    <n v="31481"/>
    <n v="0"/>
    <n v="1"/>
  </r>
  <r>
    <s v="Individu_10"/>
    <x v="1"/>
    <d v="1985-12-02T00:00:00"/>
    <x v="7"/>
    <x v="0"/>
    <n v="26961"/>
    <n v="45"/>
    <n v="1"/>
  </r>
  <r>
    <s v="Individu_11"/>
    <x v="1"/>
    <d v="1986-11-10T00:00:00"/>
    <x v="8"/>
    <x v="0"/>
    <n v="26059"/>
    <n v="0"/>
    <n v="1"/>
  </r>
  <r>
    <s v="Individu_12"/>
    <x v="1"/>
    <d v="1979-02-24T00:00:00"/>
    <x v="9"/>
    <x v="1"/>
    <n v="16844"/>
    <n v="0"/>
    <n v="0.5"/>
  </r>
  <r>
    <s v="Individu_13"/>
    <x v="0"/>
    <d v="1993-06-17T00:00:00"/>
    <x v="10"/>
    <x v="1"/>
    <n v="28882"/>
    <n v="0"/>
    <n v="1"/>
  </r>
  <r>
    <s v="Individu_15"/>
    <x v="0"/>
    <d v="1965-04-02T00:00:00"/>
    <x v="11"/>
    <x v="2"/>
    <n v="55313"/>
    <n v="3"/>
    <n v="1"/>
  </r>
  <r>
    <s v="Individu_16"/>
    <x v="0"/>
    <d v="1965-09-01T00:00:00"/>
    <x v="12"/>
    <x v="3"/>
    <n v="99367"/>
    <n v="4"/>
    <n v="1"/>
  </r>
  <r>
    <s v="Individu_18"/>
    <x v="1"/>
    <d v="1967-05-20T00:00:00"/>
    <x v="13"/>
    <x v="0"/>
    <n v="27374"/>
    <n v="10"/>
    <n v="1"/>
  </r>
  <r>
    <s v="Individu_19"/>
    <x v="1"/>
    <d v="1969-11-29T00:00:00"/>
    <x v="14"/>
    <x v="0"/>
    <n v="27482"/>
    <n v="0"/>
    <n v="1"/>
  </r>
  <r>
    <s v="Individu_20"/>
    <x v="0"/>
    <d v="1971-12-20T00:00:00"/>
    <x v="15"/>
    <x v="0"/>
    <n v="27579"/>
    <n v="20"/>
    <n v="1"/>
  </r>
  <r>
    <s v="Individu_21"/>
    <x v="0"/>
    <d v="1977-11-30T00:00:00"/>
    <x v="16"/>
    <x v="0"/>
    <n v="24385"/>
    <n v="90"/>
    <n v="0.8"/>
  </r>
  <r>
    <s v="Individu_22"/>
    <x v="1"/>
    <d v="1978-03-18T00:00:00"/>
    <x v="17"/>
    <x v="0"/>
    <n v="28418"/>
    <n v="2"/>
    <n v="1"/>
  </r>
  <r>
    <s v="Individu_23"/>
    <x v="1"/>
    <d v="1978-07-16T00:00:00"/>
    <x v="18"/>
    <x v="0"/>
    <n v="28264"/>
    <n v="16"/>
    <n v="1"/>
  </r>
  <r>
    <s v="Individu_24"/>
    <x v="0"/>
    <d v="1980-11-22T00:00:00"/>
    <x v="6"/>
    <x v="1"/>
    <n v="30969"/>
    <n v="0"/>
    <n v="1"/>
  </r>
  <r>
    <s v="Individu_25"/>
    <x v="1"/>
    <d v="1981-04-20T00:00:00"/>
    <x v="19"/>
    <x v="1"/>
    <n v="20523"/>
    <n v="0"/>
    <n v="0.6"/>
  </r>
  <r>
    <s v="Individu_27"/>
    <x v="0"/>
    <d v="1983-01-28T00:00:00"/>
    <x v="20"/>
    <x v="1"/>
    <n v="30759"/>
    <n v="1"/>
    <n v="1"/>
  </r>
  <r>
    <s v="Individu_28"/>
    <x v="0"/>
    <d v="1983-03-12T00:00:00"/>
    <x v="21"/>
    <x v="2"/>
    <n v="54566"/>
    <n v="9"/>
    <n v="1"/>
  </r>
  <r>
    <s v="Individu_29"/>
    <x v="1"/>
    <d v="1984-08-23T00:00:00"/>
    <x v="22"/>
    <x v="2"/>
    <n v="46356"/>
    <n v="0"/>
    <n v="1"/>
  </r>
  <r>
    <s v="Individu_31"/>
    <x v="0"/>
    <d v="1987-12-06T00:00:00"/>
    <x v="23"/>
    <x v="3"/>
    <n v="127272"/>
    <n v="0"/>
    <n v="1"/>
  </r>
  <r>
    <s v="Individu_32"/>
    <x v="0"/>
    <d v="1989-11-03T00:00:00"/>
    <x v="24"/>
    <x v="2"/>
    <n v="52174"/>
    <n v="1"/>
    <n v="1"/>
  </r>
  <r>
    <s v="Individu_33"/>
    <x v="0"/>
    <d v="1990-10-12T00:00:00"/>
    <x v="25"/>
    <x v="0"/>
    <n v="27082"/>
    <n v="5"/>
    <n v="1"/>
  </r>
  <r>
    <s v="Individu_34"/>
    <x v="0"/>
    <d v="1991-08-04T00:00:00"/>
    <x v="26"/>
    <x v="0"/>
    <n v="25951"/>
    <n v="10"/>
    <n v="1"/>
  </r>
  <r>
    <s v="Individu_36"/>
    <x v="0"/>
    <d v="1992-09-08T00:00:00"/>
    <x v="27"/>
    <x v="0"/>
    <n v="28732"/>
    <n v="0"/>
    <n v="1"/>
  </r>
  <r>
    <s v="Individu_37"/>
    <x v="1"/>
    <d v="1994-06-17T00:00:00"/>
    <x v="28"/>
    <x v="0"/>
    <n v="27082"/>
    <n v="0"/>
    <n v="1"/>
  </r>
  <r>
    <s v="Individu_38"/>
    <x v="0"/>
    <d v="1994-12-30T00:00:00"/>
    <x v="28"/>
    <x v="0"/>
    <n v="26252"/>
    <n v="2"/>
    <n v="1"/>
  </r>
  <r>
    <s v="Individu_40"/>
    <x v="1"/>
    <d v="1998-09-27T00:00:00"/>
    <x v="29"/>
    <x v="0"/>
    <n v="26059"/>
    <n v="0"/>
    <n v="1"/>
  </r>
  <r>
    <s v="Individu_41"/>
    <x v="0"/>
    <d v="1994-10-26T00:00:00"/>
    <x v="3"/>
    <x v="2"/>
    <n v="50237"/>
    <n v="2"/>
    <n v="1"/>
  </r>
  <r>
    <s v="Individu_43"/>
    <x v="1"/>
    <d v="1978-03-19T00:00:00"/>
    <x v="16"/>
    <x v="3"/>
    <n v="103749"/>
    <n v="0"/>
    <n v="1"/>
  </r>
  <r>
    <s v="Individu_44"/>
    <x v="0"/>
    <d v="1981-04-28T00:00:00"/>
    <x v="19"/>
    <x v="0"/>
    <n v="23826"/>
    <n v="0"/>
    <n v="0.8"/>
  </r>
  <r>
    <s v="Individu_45"/>
    <x v="0"/>
    <d v="1983-09-04T00:00:00"/>
    <x v="21"/>
    <x v="0"/>
    <n v="27903"/>
    <n v="0"/>
    <n v="1"/>
  </r>
  <r>
    <s v="Individu_48"/>
    <x v="0"/>
    <d v="1999-01-13T00:00:00"/>
    <x v="30"/>
    <x v="0"/>
    <n v="27854"/>
    <n v="26"/>
    <n v="1"/>
  </r>
  <r>
    <s v="Individu_49"/>
    <x v="0"/>
    <d v="1990-04-17T00:00:00"/>
    <x v="24"/>
    <x v="2"/>
    <n v="54312"/>
    <n v="0"/>
    <n v="1"/>
  </r>
  <r>
    <s v="Individu_50"/>
    <x v="1"/>
    <d v="1994-08-14T00:00:00"/>
    <x v="28"/>
    <x v="1"/>
    <n v="44203"/>
    <n v="1"/>
    <n v="1"/>
  </r>
  <r>
    <s v="Individu_51"/>
    <x v="0"/>
    <d v="1984-10-26T00:00:00"/>
    <x v="22"/>
    <x v="0"/>
    <n v="27680"/>
    <n v="0"/>
    <n v="1"/>
  </r>
  <r>
    <s v="Individu_53"/>
    <x v="1"/>
    <d v="1972-04-11T00:00:00"/>
    <x v="15"/>
    <x v="1"/>
    <n v="29245"/>
    <n v="1"/>
    <n v="1"/>
  </r>
  <r>
    <s v="Individu_54"/>
    <x v="0"/>
    <d v="1992-06-21T00:00:00"/>
    <x v="5"/>
    <x v="0"/>
    <n v="29109"/>
    <n v="1"/>
    <n v="1"/>
  </r>
  <r>
    <s v="Individu_55"/>
    <x v="1"/>
    <d v="1978-07-12T00:00:00"/>
    <x v="17"/>
    <x v="1"/>
    <n v="33352"/>
    <n v="0"/>
    <n v="1"/>
  </r>
  <r>
    <s v="Individu_56"/>
    <x v="1"/>
    <d v="1960-12-17T00:00:00"/>
    <x v="31"/>
    <x v="0"/>
    <n v="29545"/>
    <n v="110"/>
    <n v="1"/>
  </r>
  <r>
    <s v="Individu_57"/>
    <x v="1"/>
    <d v="1995-04-18T00:00:00"/>
    <x v="28"/>
    <x v="1"/>
    <n v="33734"/>
    <n v="0"/>
    <n v="1"/>
  </r>
  <r>
    <s v="Individu_61"/>
    <x v="0"/>
    <d v="1993-07-15T00:00:00"/>
    <x v="10"/>
    <x v="2"/>
    <n v="53110"/>
    <n v="0"/>
    <n v="1"/>
  </r>
  <r>
    <s v="Individu_62"/>
    <x v="1"/>
    <d v="1998-07-14T00:00:00"/>
    <x v="29"/>
    <x v="2"/>
    <n v="59173"/>
    <n v="1"/>
    <n v="1"/>
  </r>
  <r>
    <s v="Individu_63"/>
    <x v="0"/>
    <d v="1983-02-17T00:00:00"/>
    <x v="20"/>
    <x v="1"/>
    <n v="27529"/>
    <n v="0"/>
    <n v="0.8"/>
  </r>
  <r>
    <s v="Individu_64"/>
    <x v="0"/>
    <d v="1973-11-22T00:00:00"/>
    <x v="4"/>
    <x v="2"/>
    <n v="35644"/>
    <n v="12"/>
    <n v="1"/>
  </r>
  <r>
    <s v="Individu_65"/>
    <x v="1"/>
    <d v="1991-11-25T00:00:00"/>
    <x v="32"/>
    <x v="0"/>
    <n v="28605"/>
    <n v="3"/>
    <n v="1"/>
  </r>
  <r>
    <s v="Individu_66"/>
    <x v="1"/>
    <d v="1965-07-31T00:00:00"/>
    <x v="11"/>
    <x v="2"/>
    <n v="36555"/>
    <n v="0"/>
    <n v="1"/>
  </r>
  <r>
    <s v="Individu_67"/>
    <x v="0"/>
    <d v="1981-09-01T00:00:00"/>
    <x v="33"/>
    <x v="1"/>
    <n v="19864"/>
    <n v="26"/>
    <n v="0.6"/>
  </r>
  <r>
    <s v="Individu_68"/>
    <x v="1"/>
    <d v="1979-07-26T00:00:00"/>
    <x v="9"/>
    <x v="0"/>
    <n v="27914"/>
    <n v="0"/>
    <n v="1"/>
  </r>
  <r>
    <s v="Individu_69"/>
    <x v="0"/>
    <d v="1967-06-14T00:00:00"/>
    <x v="13"/>
    <x v="0"/>
    <n v="29146"/>
    <n v="3"/>
    <n v="0.8"/>
  </r>
  <r>
    <s v="Individu_70"/>
    <x v="0"/>
    <d v="1996-08-23T00:00:00"/>
    <x v="34"/>
    <x v="2"/>
    <n v="55420"/>
    <n v="0"/>
    <n v="1"/>
  </r>
  <r>
    <s v="Individu_71"/>
    <x v="0"/>
    <d v="1966-01-11T00:00:00"/>
    <x v="35"/>
    <x v="0"/>
    <n v="33306"/>
    <n v="1"/>
    <n v="1"/>
  </r>
  <r>
    <s v="Individu_72"/>
    <x v="1"/>
    <d v="1986-05-26T00:00:00"/>
    <x v="7"/>
    <x v="2"/>
    <n v="52441"/>
    <n v="0"/>
    <n v="1"/>
  </r>
  <r>
    <s v="Individu_73"/>
    <x v="0"/>
    <d v="1988-01-19T00:00:00"/>
    <x v="23"/>
    <x v="3"/>
    <n v="153446"/>
    <n v="0"/>
    <n v="1"/>
  </r>
  <r>
    <s v="Individu_74"/>
    <x v="1"/>
    <d v="1965-12-04T00:00:00"/>
    <x v="12"/>
    <x v="0"/>
    <n v="32704"/>
    <n v="0"/>
    <n v="1"/>
  </r>
  <r>
    <s v="Individu_75"/>
    <x v="1"/>
    <d v="1978-12-10T00:00:00"/>
    <x v="18"/>
    <x v="1"/>
    <n v="28774"/>
    <n v="0"/>
    <n v="1"/>
  </r>
  <r>
    <s v="Individu_76"/>
    <x v="1"/>
    <d v="1986-01-11T00:00:00"/>
    <x v="36"/>
    <x v="1"/>
    <n v="23432"/>
    <n v="4"/>
    <n v="0.7"/>
  </r>
  <r>
    <s v="Individu_78"/>
    <x v="0"/>
    <d v="1981-01-05T00:00:00"/>
    <x v="34"/>
    <x v="1"/>
    <n v="36340"/>
    <n v="0"/>
    <n v="1"/>
  </r>
  <r>
    <s v="Individu_79"/>
    <x v="0"/>
    <d v="1990-12-11T00:00:00"/>
    <x v="25"/>
    <x v="0"/>
    <n v="28309"/>
    <n v="0"/>
    <n v="1"/>
  </r>
  <r>
    <s v="Individu_80"/>
    <x v="1"/>
    <d v="1992-09-25T00:00:00"/>
    <x v="27"/>
    <x v="0"/>
    <n v="29519"/>
    <n v="1"/>
    <n v="1"/>
  </r>
  <r>
    <s v="Individu_04"/>
    <x v="1"/>
    <d v="1988-04-13T00:00:00"/>
    <x v="37"/>
    <x v="0"/>
    <n v="9580"/>
    <n v="0"/>
    <n v="1"/>
  </r>
  <r>
    <s v="Individu_14"/>
    <x v="0"/>
    <d v="1961-03-14T00:00:00"/>
    <x v="38"/>
    <x v="2"/>
    <n v="35087"/>
    <n v="1"/>
    <n v="1"/>
  </r>
  <r>
    <s v="Individu_30"/>
    <x v="1"/>
    <d v="1984-11-18T00:00:00"/>
    <x v="39"/>
    <x v="0"/>
    <n v="17995"/>
    <n v="0"/>
    <n v="1"/>
  </r>
  <r>
    <s v="Individu_77"/>
    <x v="0"/>
    <d v="1988-08-07T00:00:00"/>
    <x v="29"/>
    <x v="0"/>
    <n v="4375"/>
    <n v="0"/>
    <n v="1"/>
  </r>
  <r>
    <s v="Individu_08"/>
    <x v="1"/>
    <d v="1959-08-18T00:00:00"/>
    <x v="40"/>
    <x v="2"/>
    <n v="20739"/>
    <n v="0"/>
    <n v="0.7"/>
  </r>
  <r>
    <s v="Individu_39"/>
    <x v="1"/>
    <d v="1997-03-01T00:00:00"/>
    <x v="41"/>
    <x v="0"/>
    <n v="9931"/>
    <n v="1"/>
    <n v="0.5"/>
  </r>
  <r>
    <s v="Individu_46"/>
    <x v="1"/>
    <d v="1969-03-01T00:00:00"/>
    <x v="42"/>
    <x v="0"/>
    <n v="17113"/>
    <n v="12"/>
    <n v="0.6"/>
  </r>
  <r>
    <s v="Individu_60"/>
    <x v="0"/>
    <d v="1991-02-18T00:00:00"/>
    <x v="43"/>
    <x v="0"/>
    <n v="14024"/>
    <n v="0"/>
    <n v="1"/>
  </r>
  <r>
    <s v="Individu_35"/>
    <x v="0"/>
    <d v="1990-10-08T00:00:00"/>
    <x v="44"/>
    <x v="1"/>
    <n v="7714"/>
    <n v="0"/>
    <n v="1"/>
  </r>
  <r>
    <s v="Individu_47"/>
    <x v="0"/>
    <d v="1977-02-15T00:00:00"/>
    <x v="45"/>
    <x v="0"/>
    <n v="17131"/>
    <n v="2"/>
    <n v="1"/>
  </r>
  <r>
    <s v="Individu_17"/>
    <x v="1"/>
    <d v="1964-09-18T00:00:00"/>
    <x v="46"/>
    <x v="1"/>
    <n v="20141"/>
    <n v="0"/>
    <n v="1"/>
  </r>
  <r>
    <s v="Individu_42"/>
    <x v="0"/>
    <d v="1961-06-22T00:00:00"/>
    <x v="38"/>
    <x v="1"/>
    <n v="17563"/>
    <n v="12"/>
    <n v="1"/>
  </r>
  <r>
    <s v="Individu_58"/>
    <x v="1"/>
    <d v="1980-11-06T00:00:00"/>
    <x v="47"/>
    <x v="0"/>
    <n v="12460"/>
    <n v="5"/>
    <n v="1"/>
  </r>
  <r>
    <s v="Individu_26"/>
    <x v="0"/>
    <d v="1980-07-12T00:00:00"/>
    <x v="29"/>
    <x v="1"/>
    <n v="14360"/>
    <n v="0"/>
    <n v="1"/>
  </r>
  <r>
    <s v="Individu_52"/>
    <x v="1"/>
    <d v="1986-01-04T00:00:00"/>
    <x v="48"/>
    <x v="0"/>
    <n v="11539"/>
    <n v="7"/>
    <n v="1"/>
  </r>
  <r>
    <s v="Individu_59"/>
    <x v="1"/>
    <d v="1968-08-23T00:00:00"/>
    <x v="49"/>
    <x v="1"/>
    <n v="13110"/>
    <n v="90"/>
    <n v="0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87022-BB92-4FCD-BB8C-A930CD7E2A66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1">
  <location ref="E1:F4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Nombre de Sex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53D93C-AB9B-486E-9B94-8713CA8F4BD9}" name="Tableau croisé dynamique2" cacheId="2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D6" firstHeaderRow="1" firstDataRow="2" firstDataCol="1"/>
  <pivotFields count="10">
    <pivotField showAll="0"/>
    <pivotField axis="axisCol" dataField="1" showAll="0">
      <items count="3">
        <item x="1"/>
        <item x="0"/>
        <item t="default"/>
      </items>
    </pivotField>
    <pivotField numFmtId="164" showAl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3" showAll="0"/>
    <pivotField showAll="0"/>
    <pivotField numFmtId="9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47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x="9"/>
        <item h="1" sd="0" x="10"/>
        <item h="1" sd="0" x="11"/>
        <item h="1" sd="0" x="12"/>
        <item h="1" sd="0" x="13"/>
        <item h="1" sd="0" x="14"/>
        <item h="1" sd="0" x="15"/>
        <item h="1" sd="0" x="16"/>
        <item h="1" sd="0" x="17"/>
        <item h="1" sd="0" x="18"/>
        <item h="1" sd="0" x="19"/>
        <item h="1" sd="0" x="20"/>
        <item h="1" sd="0" x="21"/>
        <item h="1" sd="0" x="22"/>
        <item h="1" sd="0" x="23"/>
        <item h="1" sd="0" x="24"/>
        <item h="1" sd="0" x="25"/>
        <item h="1" sd="0" x="26"/>
        <item h="1" sd="0" x="27"/>
        <item h="1" sd="0" x="28"/>
        <item h="1" sd="0" x="29"/>
        <item h="1" sd="0" x="30"/>
        <item h="1" sd="0" x="31"/>
        <item h="1" sd="0" x="32"/>
        <item h="1" sd="0" x="33"/>
        <item h="1" sd="0" x="34"/>
        <item h="1" sd="0" x="35"/>
        <item h="1" sd="0" x="36"/>
        <item h="1" sd="0" x="37"/>
        <item h="1" sd="0" x="38"/>
        <item h="1" sd="0" x="39"/>
        <item h="1" sd="0" x="40"/>
        <item h="1" sd="0" x="41"/>
        <item h="1" sd="0" x="42"/>
        <item sd="0" x="43"/>
        <item h="1" sd="0" x="44"/>
        <item h="1" sd="0" x="45"/>
        <item t="default"/>
      </items>
    </pivotField>
  </pivotFields>
  <rowFields count="2">
    <field x="9"/>
    <field x="3"/>
  </rowFields>
  <rowItems count="2">
    <i>
      <x v="4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Nombre de Sex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650FB1-72A6-40E6-8FD6-8F94DA0BF2D5}" name="Tableau croisé dynamique15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3">
  <location ref="A3:D9" firstHeaderRow="1" firstDataRow="2" firstDataCol="1"/>
  <pivotFields count="6">
    <pivotField axis="axisCol" showAll="0">
      <items count="3">
        <item x="1"/>
        <item x="0"/>
        <item t="default"/>
      </items>
    </pivotField>
    <pivotField numFmtId="164" showAll="0"/>
    <pivotField numFmtId="164" showAll="0"/>
    <pivotField axis="axisRow" showAll="0">
      <items count="5">
        <item x="0"/>
        <item x="1"/>
        <item x="2"/>
        <item x="3"/>
        <item t="default"/>
      </items>
    </pivotField>
    <pivotField numFmtId="3" showAll="0"/>
    <pivotField dataFiel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e de Absenteisme" fld="5" baseField="0" baseItem="0"/>
  </dataFields>
  <formats count="1">
    <format dxfId="0">
      <pivotArea dataOnly="0" labelOnly="1" fieldPosition="0">
        <references count="1">
          <reference field="3" count="0"/>
        </references>
      </pivotArea>
    </format>
  </format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4"/>
  <sheetViews>
    <sheetView topLeftCell="X30" zoomScale="80" zoomScaleNormal="80" workbookViewId="0">
      <pane ySplit="5910" topLeftCell="A27"/>
      <selection activeCell="AD51" sqref="AD51"/>
      <selection pane="bottomLeft" activeCell="K23" sqref="K23"/>
    </sheetView>
  </sheetViews>
  <sheetFormatPr baseColWidth="10" defaultRowHeight="12.75" x14ac:dyDescent="0.35"/>
  <cols>
    <col min="1" max="1" width="6.33203125" customWidth="1"/>
    <col min="2" max="2" width="13.6640625" customWidth="1"/>
    <col min="3" max="3" width="7.33203125" style="3" customWidth="1"/>
    <col min="4" max="4" width="11" style="1" customWidth="1"/>
    <col min="5" max="5" width="11.46484375" style="12"/>
    <col min="6" max="6" width="7.53125" style="3" customWidth="1"/>
    <col min="7" max="7" width="12.265625" customWidth="1"/>
    <col min="8" max="8" width="11.46484375" style="3"/>
    <col min="9" max="9" width="12.59765625" style="3" bestFit="1" customWidth="1"/>
    <col min="10" max="10" width="11.46484375" style="12"/>
    <col min="11" max="11" width="11.46484375" style="3"/>
    <col min="12" max="12" width="10.6640625" style="3"/>
    <col min="13" max="13" width="12.265625" style="3" bestFit="1" customWidth="1"/>
    <col min="14" max="14" width="14" style="3" customWidth="1"/>
    <col min="15" max="15" width="16.33203125" style="3" bestFit="1" customWidth="1"/>
    <col min="16" max="16" width="17.86328125" style="3" customWidth="1"/>
    <col min="17" max="17" width="14.3984375" style="3" customWidth="1"/>
    <col min="18" max="18" width="12.9296875" style="3" customWidth="1"/>
    <col min="19" max="19" width="14.1328125" style="3" customWidth="1"/>
    <col min="20" max="20" width="3.86328125" customWidth="1"/>
    <col min="22" max="22" width="2.1328125" customWidth="1"/>
    <col min="23" max="23" width="21.86328125" customWidth="1"/>
    <col min="24" max="24" width="15.1328125" customWidth="1"/>
    <col min="25" max="25" width="9.59765625" customWidth="1"/>
    <col min="26" max="26" width="19.73046875" customWidth="1"/>
    <col min="27" max="27" width="13.53125" customWidth="1"/>
    <col min="28" max="28" width="21.33203125" customWidth="1"/>
    <col min="29" max="29" width="22.33203125" customWidth="1"/>
    <col min="30" max="30" width="25.6640625" customWidth="1"/>
    <col min="31" max="31" width="11" customWidth="1"/>
    <col min="32" max="32" width="17" customWidth="1"/>
    <col min="33" max="33" width="14.1328125" customWidth="1"/>
    <col min="34" max="34" width="26.19921875" customWidth="1"/>
    <col min="36" max="36" width="16" customWidth="1"/>
    <col min="37" max="38" width="15.46484375" customWidth="1"/>
    <col min="39" max="39" width="13.73046875" customWidth="1"/>
    <col min="40" max="40" width="13.86328125" customWidth="1"/>
  </cols>
  <sheetData>
    <row r="1" spans="1:36" ht="18" thickBot="1" x14ac:dyDescent="0.55000000000000004">
      <c r="B1" s="38" t="s">
        <v>52</v>
      </c>
      <c r="C1" s="25"/>
      <c r="E1" s="24" t="s">
        <v>164</v>
      </c>
      <c r="G1" s="177" t="s">
        <v>129</v>
      </c>
      <c r="H1" s="178"/>
      <c r="I1" s="26">
        <v>44561</v>
      </c>
      <c r="K1" s="23"/>
      <c r="L1" s="23"/>
      <c r="M1" s="23"/>
      <c r="N1" s="23"/>
      <c r="O1" s="23"/>
      <c r="P1" s="23"/>
      <c r="Q1" s="23"/>
      <c r="R1" s="23"/>
      <c r="S1" s="23"/>
      <c r="U1" s="179" t="s">
        <v>131</v>
      </c>
      <c r="V1" s="180"/>
      <c r="W1" s="180"/>
      <c r="X1" s="181"/>
    </row>
    <row r="2" spans="1:36" ht="15.75" thickTop="1" thickBot="1" x14ac:dyDescent="0.45">
      <c r="T2" s="2"/>
      <c r="U2" s="2"/>
      <c r="V2" s="2"/>
      <c r="W2" s="2"/>
      <c r="X2" s="2"/>
      <c r="AA2" s="165" t="s">
        <v>165</v>
      </c>
      <c r="AB2" s="165"/>
      <c r="AC2" s="131"/>
      <c r="AF2" s="135">
        <f>SUM($I$4:$I$67)</f>
        <v>60.699999999999996</v>
      </c>
      <c r="AG2" s="1"/>
      <c r="AH2" s="1"/>
    </row>
    <row r="3" spans="1:36" s="2" customFormat="1" ht="13.9" thickTop="1" thickBot="1" x14ac:dyDescent="0.45">
      <c r="B3" s="4" t="s">
        <v>0</v>
      </c>
      <c r="C3" s="5" t="s">
        <v>1</v>
      </c>
      <c r="D3" s="6" t="s">
        <v>2</v>
      </c>
      <c r="E3" s="10" t="s">
        <v>3</v>
      </c>
      <c r="F3" s="5" t="s">
        <v>5</v>
      </c>
      <c r="G3" s="4" t="s">
        <v>7</v>
      </c>
      <c r="H3" s="5" t="s">
        <v>51</v>
      </c>
      <c r="I3" s="5" t="s">
        <v>50</v>
      </c>
      <c r="J3" s="10" t="s">
        <v>4</v>
      </c>
      <c r="K3" s="5" t="s">
        <v>6</v>
      </c>
      <c r="L3" s="91"/>
      <c r="M3" s="91" t="s">
        <v>176</v>
      </c>
      <c r="N3" s="91" t="s">
        <v>178</v>
      </c>
      <c r="O3" s="91" t="s">
        <v>177</v>
      </c>
      <c r="P3" s="91" t="s">
        <v>197</v>
      </c>
      <c r="Q3" s="91" t="s">
        <v>219</v>
      </c>
      <c r="R3" s="91" t="s">
        <v>220</v>
      </c>
      <c r="S3" s="91" t="s">
        <v>218</v>
      </c>
      <c r="T3" s="59"/>
      <c r="U3" s="60" t="s">
        <v>116</v>
      </c>
      <c r="V3" s="61"/>
      <c r="W3" s="61"/>
      <c r="X3" s="62"/>
      <c r="AA3"/>
      <c r="AB3"/>
      <c r="AC3"/>
      <c r="AD3"/>
      <c r="AE3"/>
      <c r="AF3"/>
      <c r="AG3" s="1"/>
      <c r="AH3" s="1"/>
      <c r="AI3"/>
      <c r="AJ3"/>
    </row>
    <row r="4" spans="1:36" x14ac:dyDescent="0.35">
      <c r="A4" s="1"/>
      <c r="B4" s="40" t="s">
        <v>10</v>
      </c>
      <c r="C4" s="41" t="s">
        <v>8</v>
      </c>
      <c r="D4" s="50">
        <v>29728</v>
      </c>
      <c r="E4" s="55">
        <v>38108</v>
      </c>
      <c r="F4" s="52">
        <v>1</v>
      </c>
      <c r="G4" s="43">
        <v>28175</v>
      </c>
      <c r="H4" s="44">
        <v>0</v>
      </c>
      <c r="I4" s="45">
        <v>1</v>
      </c>
      <c r="J4" s="42" t="s">
        <v>130</v>
      </c>
      <c r="K4" s="46" t="s">
        <v>130</v>
      </c>
      <c r="L4" s="92" t="str">
        <f t="shared" ref="L4:L35" si="0">B4</f>
        <v>Individu_01</v>
      </c>
      <c r="M4" s="95">
        <f t="shared" ref="M4:M35" si="1">($I$1-D4)/365.25</f>
        <v>40.610540725530456</v>
      </c>
      <c r="N4" s="96">
        <f>IF(M4&lt;='Age - Sexe'!$B$3,1,IF(M4&lt;='Age - Sexe'!$B$4,2,IF(M4&lt;='Age - Sexe'!$B$5,3,IF(M4&lt;='Age - Sexe'!B6,4,5))))</f>
        <v>3</v>
      </c>
      <c r="O4" s="95">
        <f t="shared" ref="O4:O35" si="2">($I$1-E4)/365.25</f>
        <v>17.66735112936345</v>
      </c>
      <c r="P4" s="96">
        <f>IF(O4&lt;='Ancienneté - Sexe'!$B$3,1,IF(M4&lt;='Ancienneté - Sexe'!$B$4,2,IF(M4&lt;='Ancienneté - Sexe'!$B$5,3,IF(M4&lt;='Ancienneté - Sexe'!B6,4,5))))</f>
        <v>4</v>
      </c>
      <c r="Q4" s="96">
        <f t="shared" ref="Q4:Q35" si="3">IF(ISNUMBER(J4),MONTH(J4),12)-IF(YEAR(E4)&lt;2020,0,MONTH(E4)-1)</f>
        <v>12</v>
      </c>
      <c r="R4" s="96">
        <f>(G4/I4)*(12/Q4)</f>
        <v>28175</v>
      </c>
      <c r="S4" s="96">
        <f>IF(R4&lt;=Rémunération!$D$4,1,IF(R4&lt;=Rémunération!$D$5,2,IF(R4&lt;=Rémunération!$D$6,3,IF(R4&lt;=Rémunération!$D$7,4,5))))</f>
        <v>1</v>
      </c>
      <c r="T4" s="63"/>
      <c r="U4" t="s">
        <v>117</v>
      </c>
      <c r="X4" s="64"/>
      <c r="AA4" s="39" t="s">
        <v>216</v>
      </c>
      <c r="AF4" s="1"/>
      <c r="AH4" s="1"/>
    </row>
    <row r="5" spans="1:36" ht="13.15" x14ac:dyDescent="0.4">
      <c r="A5" s="1"/>
      <c r="B5" s="47" t="s">
        <v>11</v>
      </c>
      <c r="C5" s="7" t="s">
        <v>9</v>
      </c>
      <c r="D5" s="51">
        <v>25428</v>
      </c>
      <c r="E5" s="54">
        <v>32721</v>
      </c>
      <c r="F5" s="53">
        <v>2</v>
      </c>
      <c r="G5" s="35">
        <v>21906</v>
      </c>
      <c r="H5" s="8">
        <v>24</v>
      </c>
      <c r="I5" s="9">
        <v>0.5</v>
      </c>
      <c r="J5" s="11" t="s">
        <v>130</v>
      </c>
      <c r="K5" s="48" t="s">
        <v>130</v>
      </c>
      <c r="L5" s="92" t="str">
        <f t="shared" si="0"/>
        <v>Individu_02</v>
      </c>
      <c r="M5" s="95">
        <f t="shared" si="1"/>
        <v>52.383299110198493</v>
      </c>
      <c r="N5" s="96">
        <f>IF(M5&lt;='Age - Sexe'!$B$3,1,IF(M5&lt;='Age - Sexe'!$B$4,2,IF(M5&lt;='Age - Sexe'!$B$5,3,IF(M5&lt;='Age - Sexe'!B7,4,5))))</f>
        <v>5</v>
      </c>
      <c r="O5" s="95">
        <f t="shared" si="2"/>
        <v>32.416153319644081</v>
      </c>
      <c r="P5" s="96">
        <f>IF(O5&lt;='Ancienneté - Sexe'!$B$3,1,IF(M5&lt;='Ancienneté - Sexe'!$B$4,2,IF(M5&lt;='Ancienneté - Sexe'!$B$5,3,IF(M5&lt;='Ancienneté - Sexe'!B7,4,5))))</f>
        <v>5</v>
      </c>
      <c r="Q5" s="96">
        <f t="shared" si="3"/>
        <v>12</v>
      </c>
      <c r="R5" s="96">
        <f t="shared" ref="R5:R68" si="4">(G5/I5)*(12/Q5)</f>
        <v>43812</v>
      </c>
      <c r="S5" s="96">
        <f>IF(R5&lt;=Rémunération!$D$4,1,IF(R5&lt;=Rémunération!$D$5,2,IF(R5&lt;=Rémunération!$D$6,3,IF(R5&lt;=Rémunération!$D$7,4,5))))</f>
        <v>3</v>
      </c>
      <c r="T5" s="63"/>
      <c r="V5" s="22" t="s">
        <v>128</v>
      </c>
      <c r="W5" s="116" t="s">
        <v>121</v>
      </c>
      <c r="X5" s="117"/>
      <c r="AA5" s="39" t="s">
        <v>215</v>
      </c>
    </row>
    <row r="6" spans="1:36" x14ac:dyDescent="0.35">
      <c r="A6" s="1"/>
      <c r="B6" s="47" t="s">
        <v>12</v>
      </c>
      <c r="C6" s="7" t="s">
        <v>9</v>
      </c>
      <c r="D6" s="51">
        <v>28529</v>
      </c>
      <c r="E6" s="54">
        <v>37653</v>
      </c>
      <c r="F6" s="53">
        <v>2</v>
      </c>
      <c r="G6" s="35">
        <v>35152</v>
      </c>
      <c r="H6" s="8">
        <v>11</v>
      </c>
      <c r="I6" s="9">
        <v>1</v>
      </c>
      <c r="J6" s="11" t="s">
        <v>130</v>
      </c>
      <c r="K6" s="48" t="s">
        <v>130</v>
      </c>
      <c r="L6" s="92" t="str">
        <f t="shared" si="0"/>
        <v>Individu_03</v>
      </c>
      <c r="M6" s="95">
        <f t="shared" si="1"/>
        <v>43.893223819301845</v>
      </c>
      <c r="N6" s="96">
        <f>IF(M6&lt;='Age - Sexe'!$B$3,1,IF(M6&lt;='Age - Sexe'!$B$4,2,IF(M6&lt;='Age - Sexe'!$B$5,3,IF(M6&lt;=AB68,4,5))))</f>
        <v>5</v>
      </c>
      <c r="O6" s="95">
        <f t="shared" si="2"/>
        <v>18.913073237508556</v>
      </c>
      <c r="P6" s="96">
        <f>IF(O6&lt;='Ancienneté - Sexe'!$B$3,1,IF(M6&lt;='Ancienneté - Sexe'!$B$4,2,IF(M6&lt;='Ancienneté - Sexe'!$B$5,3,IF(M6&lt;='Ancienneté - Sexe'!B8,4,5))))</f>
        <v>5</v>
      </c>
      <c r="Q6" s="96">
        <f t="shared" si="3"/>
        <v>12</v>
      </c>
      <c r="R6" s="96">
        <f t="shared" si="4"/>
        <v>35152</v>
      </c>
      <c r="S6" s="96">
        <f>IF(R6&lt;=Rémunération!$D$4,1,IF(R6&lt;=Rémunération!$D$5,2,IF(R6&lt;=Rémunération!$D$6,3,IF(R6&lt;=Rémunération!$D$7,4,5))))</f>
        <v>2</v>
      </c>
      <c r="T6" s="63"/>
      <c r="W6" s="116" t="s">
        <v>118</v>
      </c>
      <c r="X6" s="117"/>
    </row>
    <row r="7" spans="1:36" ht="14.25" thickBot="1" x14ac:dyDescent="0.45">
      <c r="A7" s="1"/>
      <c r="B7" s="47" t="s">
        <v>14</v>
      </c>
      <c r="C7" s="7" t="s">
        <v>8</v>
      </c>
      <c r="D7" s="51">
        <v>34611</v>
      </c>
      <c r="E7" s="54">
        <v>41334</v>
      </c>
      <c r="F7" s="53">
        <v>2</v>
      </c>
      <c r="G7" s="35">
        <v>28269</v>
      </c>
      <c r="H7" s="8">
        <v>0</v>
      </c>
      <c r="I7" s="9">
        <v>1</v>
      </c>
      <c r="J7" s="11" t="s">
        <v>130</v>
      </c>
      <c r="K7" s="48" t="s">
        <v>130</v>
      </c>
      <c r="L7" s="92" t="str">
        <f t="shared" si="0"/>
        <v>Individu_05</v>
      </c>
      <c r="M7" s="95">
        <f t="shared" si="1"/>
        <v>27.241615331964407</v>
      </c>
      <c r="N7" s="96">
        <f>IF(M7&lt;='Age - Sexe'!$B$3,1,IF(M7&lt;='Age - Sexe'!$B$4,2,IF(M7&lt;='Age - Sexe'!$B$5,3,IF(M7&lt;=AB69,4,5))))</f>
        <v>2</v>
      </c>
      <c r="O7" s="95">
        <f t="shared" si="2"/>
        <v>8.8350444900752905</v>
      </c>
      <c r="P7" s="96">
        <f>IF(O7&lt;='Ancienneté - Sexe'!$B$3,1,IF(M7&lt;='Ancienneté - Sexe'!$B$4,2,IF(M7&lt;='Ancienneté - Sexe'!$B$5,3,IF(M7&lt;='Ancienneté - Sexe'!B9,4,5))))</f>
        <v>3</v>
      </c>
      <c r="Q7" s="96">
        <f t="shared" si="3"/>
        <v>12</v>
      </c>
      <c r="R7" s="96">
        <f t="shared" si="4"/>
        <v>28269</v>
      </c>
      <c r="S7" s="96">
        <f>IF(R7&lt;=Rémunération!$D$4,1,IF(R7&lt;=Rémunération!$D$5,2,IF(R7&lt;=Rémunération!$D$6,3,IF(R7&lt;=Rémunération!$D$7,4,5))))</f>
        <v>1</v>
      </c>
      <c r="T7" s="63"/>
      <c r="W7" t="s">
        <v>119</v>
      </c>
      <c r="X7" s="64"/>
      <c r="AA7" s="165" t="s">
        <v>133</v>
      </c>
      <c r="AB7" s="165"/>
      <c r="AC7" s="131"/>
      <c r="AF7" s="132"/>
      <c r="AG7" s="1"/>
      <c r="AH7" s="1"/>
    </row>
    <row r="8" spans="1:36" ht="15.75" thickTop="1" thickBot="1" x14ac:dyDescent="0.45">
      <c r="A8" s="1"/>
      <c r="B8" s="47" t="s">
        <v>15</v>
      </c>
      <c r="C8" s="7" t="s">
        <v>8</v>
      </c>
      <c r="D8" s="51">
        <v>26974</v>
      </c>
      <c r="E8" s="54">
        <v>37257</v>
      </c>
      <c r="F8" s="53">
        <v>3</v>
      </c>
      <c r="G8" s="35">
        <v>49929</v>
      </c>
      <c r="H8" s="8">
        <v>2</v>
      </c>
      <c r="I8" s="9">
        <v>1</v>
      </c>
      <c r="J8" s="11" t="s">
        <v>130</v>
      </c>
      <c r="K8" s="48" t="s">
        <v>130</v>
      </c>
      <c r="L8" s="92" t="str">
        <f t="shared" si="0"/>
        <v>Individu_06</v>
      </c>
      <c r="M8" s="95">
        <f t="shared" si="1"/>
        <v>48.150581793292268</v>
      </c>
      <c r="N8" s="96">
        <f>IF(M8&lt;='Age - Sexe'!$B$3,1,IF(M8&lt;='Age - Sexe'!$B$4,2,IF(M8&lt;='Age - Sexe'!$B$5,3,IF(M8&lt;=AB70,4,5))))</f>
        <v>5</v>
      </c>
      <c r="O8" s="95">
        <f t="shared" si="2"/>
        <v>19.997262149212869</v>
      </c>
      <c r="P8" s="96">
        <f>IF(O8&lt;='Ancienneté - Sexe'!$B$3,1,IF(M8&lt;='Ancienneté - Sexe'!$B$4,2,IF(M8&lt;='Ancienneté - Sexe'!$B$5,3,IF(M8&lt;='Ancienneté - Sexe'!B10,4,5))))</f>
        <v>5</v>
      </c>
      <c r="Q8" s="96">
        <f t="shared" si="3"/>
        <v>12</v>
      </c>
      <c r="R8" s="96">
        <f t="shared" si="4"/>
        <v>49929</v>
      </c>
      <c r="S8" s="96">
        <f>IF(R8&lt;=Rémunération!$D$4,1,IF(R8&lt;=Rémunération!$D$5,2,IF(R8&lt;=Rémunération!$D$6,3,IF(R8&lt;=Rémunération!$D$7,4,5))))</f>
        <v>3</v>
      </c>
      <c r="T8" s="63"/>
      <c r="W8" t="s">
        <v>107</v>
      </c>
      <c r="X8" s="64"/>
      <c r="AF8" s="136">
        <f>MAX(D4:D67)</f>
        <v>36173</v>
      </c>
      <c r="AG8" s="3"/>
      <c r="AI8" s="3"/>
    </row>
    <row r="9" spans="1:36" ht="15.75" thickTop="1" thickBot="1" x14ac:dyDescent="0.45">
      <c r="A9" s="1"/>
      <c r="B9" s="47" t="s">
        <v>16</v>
      </c>
      <c r="C9" s="7" t="s">
        <v>8</v>
      </c>
      <c r="D9" s="51">
        <v>33679</v>
      </c>
      <c r="E9" s="54">
        <v>42887</v>
      </c>
      <c r="F9" s="53">
        <v>2</v>
      </c>
      <c r="G9" s="35">
        <v>20234</v>
      </c>
      <c r="H9" s="8">
        <v>1</v>
      </c>
      <c r="I9" s="9">
        <v>0.6</v>
      </c>
      <c r="J9" s="11" t="s">
        <v>130</v>
      </c>
      <c r="K9" s="48" t="s">
        <v>130</v>
      </c>
      <c r="L9" s="92" t="str">
        <f t="shared" si="0"/>
        <v>Individu_07</v>
      </c>
      <c r="M9" s="95">
        <f t="shared" si="1"/>
        <v>29.793292265571527</v>
      </c>
      <c r="N9" s="96">
        <f>IF(M9&lt;='Age - Sexe'!$B$3,1,IF(M9&lt;='Age - Sexe'!$B$4,2,IF(M9&lt;='Age - Sexe'!$B$5,3,IF(M9&lt;=AB71,4,5))))</f>
        <v>2</v>
      </c>
      <c r="O9" s="95">
        <f t="shared" si="2"/>
        <v>4.5831622176591376</v>
      </c>
      <c r="P9" s="96">
        <f>IF(O9&lt;='Ancienneté - Sexe'!$B$3,1,IF(M9&lt;='Ancienneté - Sexe'!$B$4,2,IF(M9&lt;='Ancienneté - Sexe'!$B$5,3,IF(M9&lt;='Ancienneté - Sexe'!B11,4,5))))</f>
        <v>1</v>
      </c>
      <c r="Q9" s="96">
        <f t="shared" si="3"/>
        <v>12</v>
      </c>
      <c r="R9" s="96">
        <f t="shared" si="4"/>
        <v>33723.333333333336</v>
      </c>
      <c r="S9" s="96">
        <f>IF(R9&lt;=Rémunération!$D$4,1,IF(R9&lt;=Rémunération!$D$5,2,IF(R9&lt;=Rémunération!$D$6,3,IF(R9&lt;=Rémunération!$D$7,4,5))))</f>
        <v>2</v>
      </c>
      <c r="T9" s="63"/>
      <c r="W9" t="s">
        <v>120</v>
      </c>
      <c r="X9" s="64"/>
      <c r="AA9" s="39" t="s">
        <v>231</v>
      </c>
      <c r="AF9" s="135" t="str">
        <f>VLOOKUP(AF8,D4:L67,9,FALSE)</f>
        <v>Individu_48</v>
      </c>
      <c r="AG9" s="3"/>
      <c r="AI9" s="3"/>
    </row>
    <row r="10" spans="1:36" ht="13.5" thickTop="1" x14ac:dyDescent="0.4">
      <c r="A10" s="1"/>
      <c r="B10" s="47" t="s">
        <v>18</v>
      </c>
      <c r="C10" s="7" t="s">
        <v>9</v>
      </c>
      <c r="D10" s="51">
        <v>35275</v>
      </c>
      <c r="E10" s="54">
        <v>43678</v>
      </c>
      <c r="F10" s="53">
        <v>2</v>
      </c>
      <c r="G10" s="35">
        <v>31481</v>
      </c>
      <c r="H10" s="8">
        <v>0</v>
      </c>
      <c r="I10" s="9">
        <v>1</v>
      </c>
      <c r="J10" s="11" t="s">
        <v>130</v>
      </c>
      <c r="K10" s="48" t="s">
        <v>130</v>
      </c>
      <c r="L10" s="92" t="str">
        <f t="shared" si="0"/>
        <v>Individu_09</v>
      </c>
      <c r="M10" s="95">
        <f t="shared" si="1"/>
        <v>25.423682409308693</v>
      </c>
      <c r="N10" s="96">
        <f>IF(M10&lt;='Age - Sexe'!$B$3,1,IF(M10&lt;='Age - Sexe'!$B$4,2,IF(M10&lt;='Age - Sexe'!$B$5,3,IF(M10&lt;=AB72,4,5))))</f>
        <v>1</v>
      </c>
      <c r="O10" s="95">
        <f t="shared" si="2"/>
        <v>2.4175222450376452</v>
      </c>
      <c r="P10" s="96">
        <f>IF(O10&lt;='Ancienneté - Sexe'!$B$3,1,IF(M10&lt;='Ancienneté - Sexe'!$B$4,2,IF(M10&lt;='Ancienneté - Sexe'!$B$5,3,IF(M10&lt;='Ancienneté - Sexe'!B12,4,5))))</f>
        <v>1</v>
      </c>
      <c r="Q10" s="96">
        <f t="shared" si="3"/>
        <v>12</v>
      </c>
      <c r="R10" s="96">
        <f t="shared" si="4"/>
        <v>31481</v>
      </c>
      <c r="S10" s="96">
        <f>IF(R10&lt;=Rémunération!$D$4,1,IF(R10&lt;=Rémunération!$D$5,2,IF(R10&lt;=Rémunération!$D$6,3,IF(R10&lt;=Rémunération!$D$7,4,5))))</f>
        <v>2</v>
      </c>
      <c r="T10" s="63"/>
      <c r="U10" t="s">
        <v>122</v>
      </c>
      <c r="X10" s="64"/>
      <c r="AA10" s="39" t="s">
        <v>232</v>
      </c>
      <c r="AF10" s="57"/>
      <c r="AG10" s="1"/>
      <c r="AH10" s="1"/>
    </row>
    <row r="11" spans="1:36" ht="18.399999999999999" customHeight="1" x14ac:dyDescent="0.35">
      <c r="A11" s="1"/>
      <c r="B11" s="47" t="s">
        <v>19</v>
      </c>
      <c r="C11" s="7" t="s">
        <v>9</v>
      </c>
      <c r="D11" s="51">
        <v>31383</v>
      </c>
      <c r="E11" s="54">
        <v>41579</v>
      </c>
      <c r="F11" s="53">
        <v>1</v>
      </c>
      <c r="G11" s="35">
        <v>26961</v>
      </c>
      <c r="H11" s="8">
        <v>45</v>
      </c>
      <c r="I11" s="9">
        <v>1</v>
      </c>
      <c r="J11" s="11" t="s">
        <v>130</v>
      </c>
      <c r="K11" s="48" t="s">
        <v>130</v>
      </c>
      <c r="L11" s="92" t="str">
        <f t="shared" si="0"/>
        <v>Individu_10</v>
      </c>
      <c r="M11" s="95">
        <f t="shared" si="1"/>
        <v>36.079397672826829</v>
      </c>
      <c r="N11" s="96">
        <f>IF(M11&lt;='Age - Sexe'!$B$3,1,IF(M11&lt;='Age - Sexe'!$B$4,2,IF(M11&lt;='Age - Sexe'!$B$5,3,IF(M11&lt;=AB73,4,5))))</f>
        <v>3</v>
      </c>
      <c r="O11" s="95">
        <f t="shared" si="2"/>
        <v>8.1642710472279258</v>
      </c>
      <c r="P11" s="96">
        <f>IF(O11&lt;='Ancienneté - Sexe'!$B$3,1,IF(M11&lt;='Ancienneté - Sexe'!$B$4,2,IF(M11&lt;='Ancienneté - Sexe'!$B$5,3,IF(M11&lt;='Ancienneté - Sexe'!B13,4,5))))</f>
        <v>5</v>
      </c>
      <c r="Q11" s="96">
        <f t="shared" si="3"/>
        <v>12</v>
      </c>
      <c r="R11" s="96">
        <f t="shared" si="4"/>
        <v>26961</v>
      </c>
      <c r="S11" s="96">
        <f>IF(R11&lt;=Rémunération!$D$4,1,IF(R11&lt;=Rémunération!$D$5,2,IF(R11&lt;=Rémunération!$D$6,3,IF(R11&lt;=Rémunération!$D$7,4,5))))</f>
        <v>1</v>
      </c>
      <c r="T11" s="63"/>
      <c r="U11" s="15" t="s">
        <v>123</v>
      </c>
      <c r="X11" s="64"/>
      <c r="AA11" s="39" t="s">
        <v>211</v>
      </c>
      <c r="AG11" s="1"/>
      <c r="AH11" s="1"/>
    </row>
    <row r="12" spans="1:36" x14ac:dyDescent="0.35">
      <c r="A12" s="1"/>
      <c r="B12" s="47" t="s">
        <v>20</v>
      </c>
      <c r="C12" s="7" t="s">
        <v>9</v>
      </c>
      <c r="D12" s="51">
        <v>31726</v>
      </c>
      <c r="E12" s="54">
        <v>38657</v>
      </c>
      <c r="F12" s="53">
        <v>1</v>
      </c>
      <c r="G12" s="35">
        <v>26059</v>
      </c>
      <c r="H12" s="8">
        <v>0</v>
      </c>
      <c r="I12" s="9">
        <v>1</v>
      </c>
      <c r="J12" s="11" t="s">
        <v>130</v>
      </c>
      <c r="K12" s="48" t="s">
        <v>130</v>
      </c>
      <c r="L12" s="92" t="str">
        <f t="shared" si="0"/>
        <v>Individu_11</v>
      </c>
      <c r="M12" s="95">
        <f t="shared" si="1"/>
        <v>35.140314852840518</v>
      </c>
      <c r="N12" s="96">
        <f>IF(M12&lt;='Age - Sexe'!$B$3,1,IF(M12&lt;='Age - Sexe'!$B$4,2,IF(M12&lt;='Age - Sexe'!$B$5,3,IF(M12&lt;=AB74,4,5))))</f>
        <v>2</v>
      </c>
      <c r="O12" s="95">
        <f t="shared" si="2"/>
        <v>16.164271047227928</v>
      </c>
      <c r="P12" s="96">
        <f>IF(O12&lt;='Ancienneté - Sexe'!$B$3,1,IF(M12&lt;='Ancienneté - Sexe'!$B$4,2,IF(M12&lt;='Ancienneté - Sexe'!$B$5,3,IF(M12&lt;='Ancienneté - Sexe'!B14,4,5))))</f>
        <v>5</v>
      </c>
      <c r="Q12" s="96">
        <f t="shared" si="3"/>
        <v>12</v>
      </c>
      <c r="R12" s="96">
        <f t="shared" si="4"/>
        <v>26059</v>
      </c>
      <c r="S12" s="96">
        <f>IF(R12&lt;=Rémunération!$D$4,1,IF(R12&lt;=Rémunération!$D$5,2,IF(R12&lt;=Rémunération!$D$6,3,IF(R12&lt;=Rémunération!$D$7,4,5))))</f>
        <v>1</v>
      </c>
      <c r="T12" s="63"/>
      <c r="W12" t="s">
        <v>124</v>
      </c>
      <c r="X12" s="64"/>
      <c r="AA12" s="39"/>
      <c r="AG12" s="1"/>
      <c r="AH12" s="1"/>
    </row>
    <row r="13" spans="1:36" ht="13.9" x14ac:dyDescent="0.4">
      <c r="A13" s="1"/>
      <c r="B13" s="47" t="s">
        <v>21</v>
      </c>
      <c r="C13" s="7" t="s">
        <v>9</v>
      </c>
      <c r="D13" s="51">
        <v>28910</v>
      </c>
      <c r="E13" s="54">
        <v>40360</v>
      </c>
      <c r="F13" s="53">
        <v>2</v>
      </c>
      <c r="G13" s="35">
        <v>16844</v>
      </c>
      <c r="H13" s="8">
        <v>0</v>
      </c>
      <c r="I13" s="9">
        <v>0.5</v>
      </c>
      <c r="J13" s="11" t="s">
        <v>130</v>
      </c>
      <c r="K13" s="48" t="s">
        <v>130</v>
      </c>
      <c r="L13" s="92" t="str">
        <f t="shared" si="0"/>
        <v>Individu_12</v>
      </c>
      <c r="M13" s="95">
        <f t="shared" si="1"/>
        <v>42.850102669404521</v>
      </c>
      <c r="N13" s="96">
        <f>IF(M13&lt;='Age - Sexe'!$B$3,1,IF(M13&lt;='Age - Sexe'!$B$4,2,IF(M13&lt;='Age - Sexe'!$B$5,3,IF(M13&lt;=AB75,4,5))))</f>
        <v>5</v>
      </c>
      <c r="O13" s="95">
        <f t="shared" si="2"/>
        <v>11.501711156741958</v>
      </c>
      <c r="P13" s="96">
        <f>IF(O13&lt;='Ancienneté - Sexe'!$B$3,1,IF(M13&lt;='Ancienneté - Sexe'!$B$4,2,IF(M13&lt;='Ancienneté - Sexe'!$B$5,3,IF(M13&lt;='Ancienneté - Sexe'!B15,4,5))))</f>
        <v>5</v>
      </c>
      <c r="Q13" s="96">
        <f t="shared" si="3"/>
        <v>12</v>
      </c>
      <c r="R13" s="96">
        <f t="shared" si="4"/>
        <v>33688</v>
      </c>
      <c r="S13" s="96">
        <f>IF(R13&lt;=Rémunération!$D$4,1,IF(R13&lt;=Rémunération!$D$5,2,IF(R13&lt;=Rémunération!$D$6,3,IF(R13&lt;=Rémunération!$D$7,4,5))))</f>
        <v>2</v>
      </c>
      <c r="T13" s="63"/>
      <c r="W13" t="s">
        <v>125</v>
      </c>
      <c r="X13" s="64"/>
      <c r="AA13" s="166" t="s">
        <v>134</v>
      </c>
      <c r="AB13" s="165"/>
      <c r="AC13" s="131"/>
      <c r="AF13" s="132"/>
    </row>
    <row r="14" spans="1:36" ht="13.5" thickBot="1" x14ac:dyDescent="0.45">
      <c r="A14" s="1"/>
      <c r="B14" s="47" t="s">
        <v>22</v>
      </c>
      <c r="C14" s="7" t="s">
        <v>8</v>
      </c>
      <c r="D14" s="51">
        <v>34137</v>
      </c>
      <c r="E14" s="54">
        <v>41974</v>
      </c>
      <c r="F14" s="53">
        <v>2</v>
      </c>
      <c r="G14" s="35">
        <v>28882</v>
      </c>
      <c r="H14" s="8">
        <v>0</v>
      </c>
      <c r="I14" s="9">
        <v>1</v>
      </c>
      <c r="J14" s="11" t="s">
        <v>130</v>
      </c>
      <c r="K14" s="48" t="s">
        <v>130</v>
      </c>
      <c r="L14" s="92" t="str">
        <f t="shared" si="0"/>
        <v>Individu_13</v>
      </c>
      <c r="M14" s="95">
        <f t="shared" si="1"/>
        <v>28.539356605065024</v>
      </c>
      <c r="N14" s="96">
        <f>IF(M14&lt;='Age - Sexe'!$B$3,1,IF(M14&lt;='Age - Sexe'!$B$4,2,IF(M14&lt;='Age - Sexe'!$B$5,3,IF(M14&lt;=AB76,4,5))))</f>
        <v>2</v>
      </c>
      <c r="O14" s="95">
        <f t="shared" si="2"/>
        <v>7.0828199863107457</v>
      </c>
      <c r="P14" s="96">
        <f>IF(O14&lt;='Ancienneté - Sexe'!$B$3,1,IF(M14&lt;='Ancienneté - Sexe'!$B$4,2,IF(M14&lt;='Ancienneté - Sexe'!$B$5,3,IF(M14&lt;='Ancienneté - Sexe'!B16,4,5))))</f>
        <v>3</v>
      </c>
      <c r="Q14" s="96">
        <f t="shared" si="3"/>
        <v>12</v>
      </c>
      <c r="R14" s="96">
        <f t="shared" si="4"/>
        <v>28882</v>
      </c>
      <c r="S14" s="96">
        <f>IF(R14&lt;=Rémunération!$D$4,1,IF(R14&lt;=Rémunération!$D$5,2,IF(R14&lt;=Rémunération!$D$6,3,IF(R14&lt;=Rémunération!$D$7,4,5))))</f>
        <v>1</v>
      </c>
      <c r="T14" s="63"/>
      <c r="W14" t="s">
        <v>126</v>
      </c>
      <c r="X14" s="64"/>
      <c r="AF14" s="133"/>
    </row>
    <row r="15" spans="1:36" ht="15.75" thickTop="1" thickBot="1" x14ac:dyDescent="0.45">
      <c r="A15" s="1"/>
      <c r="B15" s="47" t="s">
        <v>24</v>
      </c>
      <c r="C15" s="7" t="s">
        <v>8</v>
      </c>
      <c r="D15" s="51">
        <v>23834</v>
      </c>
      <c r="E15" s="54">
        <v>32690</v>
      </c>
      <c r="F15" s="53">
        <v>3</v>
      </c>
      <c r="G15" s="35">
        <v>55313</v>
      </c>
      <c r="H15" s="8">
        <v>3</v>
      </c>
      <c r="I15" s="9">
        <v>1</v>
      </c>
      <c r="J15" s="11" t="s">
        <v>130</v>
      </c>
      <c r="K15" s="48" t="s">
        <v>130</v>
      </c>
      <c r="L15" s="92" t="str">
        <f t="shared" si="0"/>
        <v>Individu_15</v>
      </c>
      <c r="M15" s="95">
        <f t="shared" si="1"/>
        <v>56.747433264887064</v>
      </c>
      <c r="N15" s="96">
        <f>IF(M15&lt;='Age - Sexe'!$B$3,1,IF(M15&lt;='Age - Sexe'!$B$4,2,IF(M15&lt;='Age - Sexe'!$B$5,3,IF(M15&lt;=AB77,4,5))))</f>
        <v>5</v>
      </c>
      <c r="O15" s="95">
        <f t="shared" si="2"/>
        <v>32.501026694045173</v>
      </c>
      <c r="P15" s="96">
        <f>IF(O15&lt;='Ancienneté - Sexe'!$B$3,1,IF(M15&lt;='Ancienneté - Sexe'!$B$4,2,IF(M15&lt;='Ancienneté - Sexe'!$B$5,3,IF(M15&lt;='Ancienneté - Sexe'!B17,4,5))))</f>
        <v>5</v>
      </c>
      <c r="Q15" s="96">
        <f t="shared" si="3"/>
        <v>12</v>
      </c>
      <c r="R15" s="96">
        <f t="shared" si="4"/>
        <v>55313</v>
      </c>
      <c r="S15" s="96">
        <f>IF(R15&lt;=Rémunération!$D$4,1,IF(R15&lt;=Rémunération!$D$5,2,IF(R15&lt;=Rémunération!$D$6,3,IF(R15&lt;=Rémunération!$D$7,4,5))))</f>
        <v>3</v>
      </c>
      <c r="T15" s="65"/>
      <c r="U15" s="66"/>
      <c r="V15" s="66"/>
      <c r="W15" s="66" t="s">
        <v>127</v>
      </c>
      <c r="X15" s="67"/>
      <c r="AA15" s="39" t="s">
        <v>212</v>
      </c>
      <c r="AF15" s="136">
        <f>MIN(E4:E67)</f>
        <v>28915</v>
      </c>
      <c r="AG15" s="1"/>
      <c r="AH15" s="1"/>
    </row>
    <row r="16" spans="1:36" ht="15.75" thickTop="1" thickBot="1" x14ac:dyDescent="0.45">
      <c r="A16" s="1"/>
      <c r="B16" s="47" t="s">
        <v>25</v>
      </c>
      <c r="C16" s="7" t="s">
        <v>8</v>
      </c>
      <c r="D16" s="51">
        <v>23986</v>
      </c>
      <c r="E16" s="54">
        <v>30348</v>
      </c>
      <c r="F16" s="53">
        <v>4</v>
      </c>
      <c r="G16" s="35">
        <v>99367</v>
      </c>
      <c r="H16" s="8">
        <v>4</v>
      </c>
      <c r="I16" s="9">
        <v>1</v>
      </c>
      <c r="J16" s="11" t="s">
        <v>130</v>
      </c>
      <c r="K16" s="48" t="s">
        <v>130</v>
      </c>
      <c r="L16" s="92" t="str">
        <f t="shared" si="0"/>
        <v>Individu_16</v>
      </c>
      <c r="M16" s="95">
        <f t="shared" si="1"/>
        <v>56.331279945242983</v>
      </c>
      <c r="N16" s="96">
        <f>IF(M16&lt;='Age - Sexe'!$B$3,1,IF(M16&lt;='Age - Sexe'!$B$4,2,IF(M16&lt;='Age - Sexe'!$B$5,3,IF(M16&lt;=AB78,4,5))))</f>
        <v>5</v>
      </c>
      <c r="O16" s="95">
        <f t="shared" si="2"/>
        <v>38.913073237508556</v>
      </c>
      <c r="P16" s="96">
        <f>IF(O16&lt;='Ancienneté - Sexe'!$B$3,1,IF(M16&lt;='Ancienneté - Sexe'!$B$4,2,IF(M16&lt;='Ancienneté - Sexe'!$B$5,3,IF(M16&lt;='Ancienneté - Sexe'!B18,4,5))))</f>
        <v>5</v>
      </c>
      <c r="Q16" s="96">
        <f t="shared" si="3"/>
        <v>12</v>
      </c>
      <c r="R16" s="96">
        <f t="shared" si="4"/>
        <v>99367</v>
      </c>
      <c r="S16" s="96">
        <f>IF(R16&lt;=Rémunération!$D$4,1,IF(R16&lt;=Rémunération!$D$5,2,IF(R16&lt;=Rémunération!$D$6,3,IF(R16&lt;=Rémunération!$D$7,4,5))))</f>
        <v>4</v>
      </c>
      <c r="AA16" s="39" t="s">
        <v>233</v>
      </c>
      <c r="AF16" s="135" t="str">
        <f>VLOOKUP(AF15,E4:L67,8,FALSE)</f>
        <v>Individu_56</v>
      </c>
    </row>
    <row r="17" spans="1:38" ht="13.15" thickTop="1" x14ac:dyDescent="0.35">
      <c r="A17" s="1"/>
      <c r="B17" s="47" t="s">
        <v>27</v>
      </c>
      <c r="C17" s="7" t="s">
        <v>9</v>
      </c>
      <c r="D17" s="51">
        <v>24612</v>
      </c>
      <c r="E17" s="54">
        <v>34669</v>
      </c>
      <c r="F17" s="53">
        <v>1</v>
      </c>
      <c r="G17" s="35">
        <v>27374</v>
      </c>
      <c r="H17" s="8">
        <v>10</v>
      </c>
      <c r="I17" s="9">
        <v>1</v>
      </c>
      <c r="J17" s="11" t="s">
        <v>130</v>
      </c>
      <c r="K17" s="48" t="s">
        <v>130</v>
      </c>
      <c r="L17" s="92" t="str">
        <f t="shared" si="0"/>
        <v>Individu_18</v>
      </c>
      <c r="M17" s="95">
        <f t="shared" si="1"/>
        <v>54.617385352498289</v>
      </c>
      <c r="N17" s="96">
        <f>IF(M17&lt;='Age - Sexe'!$B$3,1,IF(M17&lt;='Age - Sexe'!$B$4,2,IF(M17&lt;='Age - Sexe'!$B$5,3,IF(M17&lt;=AB79,4,5))))</f>
        <v>5</v>
      </c>
      <c r="O17" s="95">
        <f t="shared" si="2"/>
        <v>27.082819986310746</v>
      </c>
      <c r="P17" s="96">
        <f>IF(O17&lt;='Ancienneté - Sexe'!$B$3,1,IF(M17&lt;='Ancienneté - Sexe'!$B$4,2,IF(M17&lt;='Ancienneté - Sexe'!$B$5,3,IF(M17&lt;='Ancienneté - Sexe'!B19,4,5))))</f>
        <v>5</v>
      </c>
      <c r="Q17" s="96">
        <f t="shared" si="3"/>
        <v>12</v>
      </c>
      <c r="R17" s="96">
        <f t="shared" si="4"/>
        <v>27374</v>
      </c>
      <c r="S17" s="96">
        <f>IF(R17&lt;=Rémunération!$D$4,1,IF(R17&lt;=Rémunération!$D$5,2,IF(R17&lt;=Rémunération!$D$6,3,IF(R17&lt;=Rémunération!$D$7,4,5))))</f>
        <v>1</v>
      </c>
      <c r="T17" s="13"/>
      <c r="U17" s="19" t="s">
        <v>111</v>
      </c>
      <c r="X17" s="14"/>
    </row>
    <row r="18" spans="1:38" ht="13.15" x14ac:dyDescent="0.4">
      <c r="A18" s="1"/>
      <c r="B18" s="47" t="s">
        <v>28</v>
      </c>
      <c r="C18" s="7" t="s">
        <v>9</v>
      </c>
      <c r="D18" s="51">
        <v>25536</v>
      </c>
      <c r="E18" s="54">
        <v>36039</v>
      </c>
      <c r="F18" s="53">
        <v>1</v>
      </c>
      <c r="G18" s="35">
        <v>27482</v>
      </c>
      <c r="H18" s="8">
        <v>0</v>
      </c>
      <c r="I18" s="9">
        <v>1</v>
      </c>
      <c r="J18" s="11" t="s">
        <v>130</v>
      </c>
      <c r="K18" s="48" t="s">
        <v>130</v>
      </c>
      <c r="L18" s="92" t="str">
        <f t="shared" si="0"/>
        <v>Individu_19</v>
      </c>
      <c r="M18" s="95">
        <f t="shared" si="1"/>
        <v>52.087611225188226</v>
      </c>
      <c r="N18" s="96">
        <f>IF(M18&lt;='Age - Sexe'!$B$3,1,IF(M18&lt;='Age - Sexe'!$B$4,2,IF(M18&lt;='Age - Sexe'!$B$5,3,IF(M18&lt;=AB80,4,5))))</f>
        <v>5</v>
      </c>
      <c r="O18" s="95">
        <f t="shared" si="2"/>
        <v>23.331964407939768</v>
      </c>
      <c r="P18" s="96">
        <f>IF(O18&lt;='Ancienneté - Sexe'!$B$3,1,IF(M18&lt;='Ancienneté - Sexe'!$B$4,2,IF(M18&lt;='Ancienneté - Sexe'!$B$5,3,IF(M18&lt;='Ancienneté - Sexe'!B20,4,5))))</f>
        <v>5</v>
      </c>
      <c r="Q18" s="96">
        <f t="shared" si="3"/>
        <v>12</v>
      </c>
      <c r="R18" s="96">
        <f t="shared" si="4"/>
        <v>27482</v>
      </c>
      <c r="S18" s="96">
        <f>IF(R18&lt;=Rémunération!$D$4,1,IF(R18&lt;=Rémunération!$D$5,2,IF(R18&lt;=Rémunération!$D$6,3,IF(R18&lt;=Rémunération!$D$7,4,5))))</f>
        <v>1</v>
      </c>
      <c r="T18" s="13"/>
      <c r="U18" s="2" t="s">
        <v>93</v>
      </c>
      <c r="V18" s="2"/>
      <c r="W18" s="39" t="s">
        <v>143</v>
      </c>
      <c r="X18" s="14"/>
      <c r="AA18" s="39" t="s">
        <v>211</v>
      </c>
    </row>
    <row r="19" spans="1:38" ht="13.15" x14ac:dyDescent="0.4">
      <c r="A19" s="1"/>
      <c r="B19" s="47" t="s">
        <v>29</v>
      </c>
      <c r="C19" s="7" t="s">
        <v>8</v>
      </c>
      <c r="D19" s="51">
        <v>26287</v>
      </c>
      <c r="E19" s="54">
        <v>35186</v>
      </c>
      <c r="F19" s="53">
        <v>1</v>
      </c>
      <c r="G19" s="35">
        <v>27579</v>
      </c>
      <c r="H19" s="8">
        <v>20</v>
      </c>
      <c r="I19" s="9">
        <v>1</v>
      </c>
      <c r="J19" s="11" t="s">
        <v>130</v>
      </c>
      <c r="K19" s="48" t="s">
        <v>130</v>
      </c>
      <c r="L19" s="92" t="str">
        <f t="shared" si="0"/>
        <v>Individu_20</v>
      </c>
      <c r="M19" s="95">
        <f t="shared" si="1"/>
        <v>50.031485284052017</v>
      </c>
      <c r="N19" s="96">
        <f>IF(M19&lt;='Age - Sexe'!$B$3,1,IF(M19&lt;='Age - Sexe'!$B$4,2,IF(M19&lt;='Age - Sexe'!$B$5,3,IF(M19&lt;=AB81,4,5))))</f>
        <v>5</v>
      </c>
      <c r="O19" s="95">
        <f t="shared" si="2"/>
        <v>25.66735112936345</v>
      </c>
      <c r="P19" s="96">
        <f>IF(O19&lt;='Ancienneté - Sexe'!$B$3,1,IF(M19&lt;='Ancienneté - Sexe'!$B$4,2,IF(M19&lt;='Ancienneté - Sexe'!$B$5,3,IF(M19&lt;='Ancienneté - Sexe'!B21,4,5))))</f>
        <v>5</v>
      </c>
      <c r="Q19" s="96">
        <f t="shared" si="3"/>
        <v>12</v>
      </c>
      <c r="R19" s="96">
        <f t="shared" si="4"/>
        <v>27579</v>
      </c>
      <c r="S19" s="96">
        <f>IF(R19&lt;=Rémunération!$D$4,1,IF(R19&lt;=Rémunération!$D$5,2,IF(R19&lt;=Rémunération!$D$6,3,IF(R19&lt;=Rémunération!$D$7,4,5))))</f>
        <v>1</v>
      </c>
      <c r="T19" s="13"/>
      <c r="U19" s="2" t="s">
        <v>1</v>
      </c>
      <c r="V19" t="s">
        <v>8</v>
      </c>
      <c r="X19" s="14"/>
      <c r="AA19" s="39"/>
    </row>
    <row r="20" spans="1:38" ht="13.15" thickBot="1" x14ac:dyDescent="0.4">
      <c r="A20" s="1"/>
      <c r="B20" s="47" t="s">
        <v>30</v>
      </c>
      <c r="C20" s="7" t="s">
        <v>8</v>
      </c>
      <c r="D20" s="51">
        <v>28459</v>
      </c>
      <c r="E20" s="54">
        <v>36892</v>
      </c>
      <c r="F20" s="53">
        <v>1</v>
      </c>
      <c r="G20" s="35">
        <v>24385</v>
      </c>
      <c r="H20" s="8">
        <v>90</v>
      </c>
      <c r="I20" s="9">
        <v>0.8</v>
      </c>
      <c r="J20" s="11" t="s">
        <v>130</v>
      </c>
      <c r="K20" s="48" t="s">
        <v>130</v>
      </c>
      <c r="L20" s="92" t="str">
        <f t="shared" si="0"/>
        <v>Individu_21</v>
      </c>
      <c r="M20" s="95">
        <f t="shared" si="1"/>
        <v>44.084873374401099</v>
      </c>
      <c r="N20" s="96">
        <f>IF(M20&lt;='Age - Sexe'!$B$3,1,IF(M20&lt;='Age - Sexe'!$B$4,2,IF(M20&lt;='Age - Sexe'!$B$5,3,IF(M20&lt;=AB82,4,5))))</f>
        <v>5</v>
      </c>
      <c r="O20" s="95">
        <f t="shared" si="2"/>
        <v>20.996577686516083</v>
      </c>
      <c r="P20" s="96">
        <f>IF(O20&lt;='Ancienneté - Sexe'!$B$3,1,IF(M20&lt;='Ancienneté - Sexe'!$B$4,2,IF(M20&lt;='Ancienneté - Sexe'!$B$5,3,IF(M20&lt;='Ancienneté - Sexe'!B22,4,5))))</f>
        <v>5</v>
      </c>
      <c r="Q20" s="96">
        <f t="shared" si="3"/>
        <v>12</v>
      </c>
      <c r="R20" s="96">
        <f t="shared" si="4"/>
        <v>30481.25</v>
      </c>
      <c r="S20" s="96">
        <f>IF(R20&lt;=Rémunération!$D$4,1,IF(R20&lt;=Rémunération!$D$5,2,IF(R20&lt;=Rémunération!$D$6,3,IF(R20&lt;=Rémunération!$D$7,4,5))))</f>
        <v>2</v>
      </c>
      <c r="T20" s="13"/>
      <c r="V20" t="s">
        <v>9</v>
      </c>
      <c r="X20" s="14"/>
    </row>
    <row r="21" spans="1:38" ht="15.75" thickTop="1" thickBot="1" x14ac:dyDescent="0.45">
      <c r="A21" s="1"/>
      <c r="B21" s="47" t="s">
        <v>31</v>
      </c>
      <c r="C21" s="7" t="s">
        <v>9</v>
      </c>
      <c r="D21" s="51">
        <v>28567</v>
      </c>
      <c r="E21" s="54">
        <v>41061</v>
      </c>
      <c r="F21" s="53">
        <v>1</v>
      </c>
      <c r="G21" s="35">
        <v>28418</v>
      </c>
      <c r="H21" s="8">
        <v>2</v>
      </c>
      <c r="I21" s="9">
        <v>1</v>
      </c>
      <c r="J21" s="11" t="s">
        <v>130</v>
      </c>
      <c r="K21" s="48" t="s">
        <v>130</v>
      </c>
      <c r="L21" s="92" t="str">
        <f t="shared" si="0"/>
        <v>Individu_22</v>
      </c>
      <c r="M21" s="95">
        <f t="shared" si="1"/>
        <v>43.789185489390832</v>
      </c>
      <c r="N21" s="96">
        <f>IF(M21&lt;='Age - Sexe'!$B$3,1,IF(M21&lt;='Age - Sexe'!$B$4,2,IF(M21&lt;='Age - Sexe'!$B$5,3,IF(M21&lt;=AB83,4,5))))</f>
        <v>5</v>
      </c>
      <c r="O21" s="95">
        <f t="shared" si="2"/>
        <v>9.5824777549623548</v>
      </c>
      <c r="P21" s="96">
        <f>IF(O21&lt;='Ancienneté - Sexe'!$B$3,1,IF(M21&lt;='Ancienneté - Sexe'!$B$4,2,IF(M21&lt;='Ancienneté - Sexe'!$B$5,3,IF(M21&lt;='Ancienneté - Sexe'!B23,4,5))))</f>
        <v>5</v>
      </c>
      <c r="Q21" s="96">
        <f t="shared" si="3"/>
        <v>12</v>
      </c>
      <c r="R21" s="96">
        <f t="shared" si="4"/>
        <v>28418</v>
      </c>
      <c r="S21" s="96">
        <f>IF(R21&lt;=Rémunération!$D$4,1,IF(R21&lt;=Rémunération!$D$5,2,IF(R21&lt;=Rémunération!$D$6,3,IF(R21&lt;=Rémunération!$D$7,4,5))))</f>
        <v>1</v>
      </c>
      <c r="T21" s="13"/>
      <c r="U21" s="2" t="s">
        <v>5</v>
      </c>
      <c r="V21">
        <v>1</v>
      </c>
      <c r="W21" t="s">
        <v>101</v>
      </c>
      <c r="X21" s="14"/>
      <c r="AA21" s="165" t="s">
        <v>166</v>
      </c>
      <c r="AB21" s="165"/>
      <c r="AC21" s="165"/>
      <c r="AF21" s="135">
        <f>SUM(G4:G83)</f>
        <v>2704693</v>
      </c>
    </row>
    <row r="22" spans="1:38" ht="13.15" thickTop="1" x14ac:dyDescent="0.35">
      <c r="A22" s="1"/>
      <c r="B22" s="47" t="s">
        <v>32</v>
      </c>
      <c r="C22" s="7" t="s">
        <v>9</v>
      </c>
      <c r="D22" s="51">
        <v>28687</v>
      </c>
      <c r="E22" s="54">
        <v>37561</v>
      </c>
      <c r="F22" s="53">
        <v>1</v>
      </c>
      <c r="G22" s="35">
        <v>28264</v>
      </c>
      <c r="H22" s="8">
        <v>16</v>
      </c>
      <c r="I22" s="9">
        <v>1</v>
      </c>
      <c r="J22" s="11" t="s">
        <v>130</v>
      </c>
      <c r="K22" s="48" t="s">
        <v>130</v>
      </c>
      <c r="L22" s="92" t="str">
        <f t="shared" si="0"/>
        <v>Individu_23</v>
      </c>
      <c r="M22" s="95">
        <f t="shared" si="1"/>
        <v>43.460643394934976</v>
      </c>
      <c r="N22" s="96">
        <f>IF(M22&lt;='Age - Sexe'!$B$3,1,IF(M22&lt;='Age - Sexe'!$B$4,2,IF(M22&lt;='Age - Sexe'!$B$5,3,IF(M22&lt;=AB84,4,5))))</f>
        <v>5</v>
      </c>
      <c r="O22" s="95">
        <f t="shared" si="2"/>
        <v>19.16495550992471</v>
      </c>
      <c r="P22" s="96">
        <f>IF(O22&lt;='Ancienneté - Sexe'!$B$3,1,IF(M22&lt;='Ancienneté - Sexe'!$B$4,2,IF(M22&lt;='Ancienneté - Sexe'!$B$5,3,IF(M22&lt;='Ancienneté - Sexe'!B24,4,5))))</f>
        <v>5</v>
      </c>
      <c r="Q22" s="96">
        <f t="shared" si="3"/>
        <v>12</v>
      </c>
      <c r="R22" s="96">
        <f t="shared" si="4"/>
        <v>28264</v>
      </c>
      <c r="S22" s="96">
        <f>IF(R22&lt;=Rémunération!$D$4,1,IF(R22&lt;=Rémunération!$D$5,2,IF(R22&lt;=Rémunération!$D$6,3,IF(R22&lt;=Rémunération!$D$7,4,5))))</f>
        <v>1</v>
      </c>
      <c r="T22" s="13"/>
      <c r="V22">
        <v>2</v>
      </c>
      <c r="W22" t="s">
        <v>102</v>
      </c>
      <c r="X22" s="14"/>
    </row>
    <row r="23" spans="1:38" x14ac:dyDescent="0.35">
      <c r="A23" s="1"/>
      <c r="B23" s="47" t="s">
        <v>33</v>
      </c>
      <c r="C23" s="7" t="s">
        <v>8</v>
      </c>
      <c r="D23" s="51">
        <v>29547</v>
      </c>
      <c r="E23" s="54">
        <v>43678</v>
      </c>
      <c r="F23" s="53">
        <v>2</v>
      </c>
      <c r="G23" s="35">
        <v>30969</v>
      </c>
      <c r="H23" s="8">
        <v>0</v>
      </c>
      <c r="I23" s="9">
        <v>1</v>
      </c>
      <c r="J23" s="11" t="s">
        <v>130</v>
      </c>
      <c r="K23" s="48" t="s">
        <v>130</v>
      </c>
      <c r="L23" s="92" t="str">
        <f t="shared" si="0"/>
        <v>Individu_24</v>
      </c>
      <c r="M23" s="95">
        <f t="shared" si="1"/>
        <v>41.106091718001366</v>
      </c>
      <c r="N23" s="96">
        <f>IF(M23&lt;='Age - Sexe'!$B$3,1,IF(M23&lt;='Age - Sexe'!$B$4,2,IF(M23&lt;='Age - Sexe'!$B$5,3,IF(M23&lt;=AB85,4,5))))</f>
        <v>5</v>
      </c>
      <c r="O23" s="95">
        <f t="shared" si="2"/>
        <v>2.4175222450376452</v>
      </c>
      <c r="P23" s="96">
        <f>IF(O23&lt;='Ancienneté - Sexe'!$B$3,1,IF(M23&lt;='Ancienneté - Sexe'!$B$4,2,IF(M23&lt;='Ancienneté - Sexe'!$B$5,3,IF(M23&lt;='Ancienneté - Sexe'!B25,4,5))))</f>
        <v>1</v>
      </c>
      <c r="Q23" s="96">
        <f t="shared" si="3"/>
        <v>12</v>
      </c>
      <c r="R23" s="96">
        <f t="shared" si="4"/>
        <v>30969</v>
      </c>
      <c r="S23" s="96">
        <f>IF(R23&lt;=Rémunération!$D$4,1,IF(R23&lt;=Rémunération!$D$5,2,IF(R23&lt;=Rémunération!$D$6,3,IF(R23&lt;=Rémunération!$D$7,4,5))))</f>
        <v>2</v>
      </c>
      <c r="T23" s="13"/>
      <c r="V23">
        <v>3</v>
      </c>
      <c r="W23" t="s">
        <v>103</v>
      </c>
      <c r="X23" s="14"/>
    </row>
    <row r="24" spans="1:38" x14ac:dyDescent="0.35">
      <c r="A24" s="1"/>
      <c r="B24" s="47" t="s">
        <v>34</v>
      </c>
      <c r="C24" s="7" t="s">
        <v>9</v>
      </c>
      <c r="D24" s="51">
        <v>29696</v>
      </c>
      <c r="E24" s="54">
        <v>42491</v>
      </c>
      <c r="F24" s="53">
        <v>2</v>
      </c>
      <c r="G24" s="35">
        <v>20523</v>
      </c>
      <c r="H24" s="8">
        <v>0</v>
      </c>
      <c r="I24" s="9">
        <v>0.6</v>
      </c>
      <c r="J24" s="11" t="s">
        <v>130</v>
      </c>
      <c r="K24" s="48" t="s">
        <v>130</v>
      </c>
      <c r="L24" s="92" t="str">
        <f t="shared" si="0"/>
        <v>Individu_25</v>
      </c>
      <c r="M24" s="95">
        <f t="shared" si="1"/>
        <v>40.698151950718689</v>
      </c>
      <c r="N24" s="96">
        <f>IF(M24&lt;='Age - Sexe'!$B$3,1,IF(M24&lt;='Age - Sexe'!$B$4,2,IF(M24&lt;='Age - Sexe'!$B$5,3,IF(M24&lt;=#REF!,4,5))))</f>
        <v>3</v>
      </c>
      <c r="O24" s="95">
        <f t="shared" si="2"/>
        <v>5.6673511293634498</v>
      </c>
      <c r="P24" s="96">
        <f>IF(O24&lt;='Ancienneté - Sexe'!$B$3,1,IF(M24&lt;='Ancienneté - Sexe'!$B$4,2,IF(M24&lt;='Ancienneté - Sexe'!$B$5,3,IF(M24&lt;='Ancienneté - Sexe'!B26,4,5))))</f>
        <v>1</v>
      </c>
      <c r="Q24" s="96">
        <f t="shared" si="3"/>
        <v>12</v>
      </c>
      <c r="R24" s="96">
        <f t="shared" si="4"/>
        <v>34205</v>
      </c>
      <c r="S24" s="96">
        <f>IF(R24&lt;=Rémunération!$D$4,1,IF(R24&lt;=Rémunération!$D$5,2,IF(R24&lt;=Rémunération!$D$6,3,IF(R24&lt;=Rémunération!$D$7,4,5))))</f>
        <v>2</v>
      </c>
      <c r="T24" s="13"/>
      <c r="V24">
        <v>4</v>
      </c>
      <c r="W24" t="s">
        <v>104</v>
      </c>
      <c r="X24" s="14"/>
      <c r="AA24" s="39" t="s">
        <v>234</v>
      </c>
    </row>
    <row r="25" spans="1:38" ht="13.15" x14ac:dyDescent="0.4">
      <c r="A25" s="1"/>
      <c r="B25" s="47" t="s">
        <v>36</v>
      </c>
      <c r="C25" s="7" t="s">
        <v>8</v>
      </c>
      <c r="D25" s="51">
        <v>30344</v>
      </c>
      <c r="E25" s="54">
        <v>39052</v>
      </c>
      <c r="F25" s="53">
        <v>2</v>
      </c>
      <c r="G25" s="35">
        <v>30759</v>
      </c>
      <c r="H25" s="8">
        <v>1</v>
      </c>
      <c r="I25" s="9">
        <v>1</v>
      </c>
      <c r="J25" s="11" t="s">
        <v>130</v>
      </c>
      <c r="K25" s="48" t="s">
        <v>130</v>
      </c>
      <c r="L25" s="92" t="str">
        <f t="shared" si="0"/>
        <v>Individu_27</v>
      </c>
      <c r="M25" s="95">
        <f t="shared" si="1"/>
        <v>38.924024640657088</v>
      </c>
      <c r="N25" s="96">
        <f>IF(M25&lt;='Age - Sexe'!$B$3,1,IF(M25&lt;='Age - Sexe'!$B$4,2,IF(M25&lt;='Age - Sexe'!$B$5,3,IF(M25&lt;=#REF!,4,5))))</f>
        <v>3</v>
      </c>
      <c r="O25" s="95">
        <f t="shared" si="2"/>
        <v>15.082819986310746</v>
      </c>
      <c r="P25" s="96">
        <f>IF(O25&lt;='Ancienneté - Sexe'!$B$3,1,IF(M25&lt;='Ancienneté - Sexe'!$B$4,2,IF(M25&lt;='Ancienneté - Sexe'!$B$5,3,IF(M25&lt;='Ancienneté - Sexe'!B27,4,5))))</f>
        <v>5</v>
      </c>
      <c r="Q25" s="96">
        <f t="shared" si="3"/>
        <v>12</v>
      </c>
      <c r="R25" s="96">
        <f t="shared" si="4"/>
        <v>30759</v>
      </c>
      <c r="S25" s="96">
        <f>IF(R25&lt;=Rémunération!$D$4,1,IF(R25&lt;=Rémunération!$D$5,2,IF(R25&lt;=Rémunération!$D$6,3,IF(R25&lt;=Rémunération!$D$7,4,5))))</f>
        <v>2</v>
      </c>
      <c r="T25" s="13"/>
      <c r="U25" s="2" t="s">
        <v>105</v>
      </c>
      <c r="W25" t="s">
        <v>106</v>
      </c>
      <c r="X25" s="14"/>
      <c r="AA25" s="39" t="s">
        <v>213</v>
      </c>
      <c r="AB25" s="39"/>
      <c r="AC25" s="39"/>
      <c r="AD25" s="39"/>
    </row>
    <row r="26" spans="1:38" x14ac:dyDescent="0.35">
      <c r="A26" s="1"/>
      <c r="B26" s="47" t="s">
        <v>37</v>
      </c>
      <c r="C26" s="7" t="s">
        <v>8</v>
      </c>
      <c r="D26" s="51">
        <v>30387</v>
      </c>
      <c r="E26" s="54">
        <v>43435</v>
      </c>
      <c r="F26" s="53">
        <v>3</v>
      </c>
      <c r="G26" s="35">
        <v>54566</v>
      </c>
      <c r="H26" s="8">
        <v>9</v>
      </c>
      <c r="I26" s="9">
        <v>1</v>
      </c>
      <c r="J26" s="11" t="s">
        <v>130</v>
      </c>
      <c r="K26" s="48" t="s">
        <v>130</v>
      </c>
      <c r="L26" s="92" t="str">
        <f t="shared" si="0"/>
        <v>Individu_28</v>
      </c>
      <c r="M26" s="95">
        <f t="shared" si="1"/>
        <v>38.806297056810401</v>
      </c>
      <c r="N26" s="96">
        <f>IF(M26&lt;='Age - Sexe'!$B$3,1,IF(M26&lt;='Age - Sexe'!$B$4,2,IF(M26&lt;='Age - Sexe'!$B$5,3,IF(M26&lt;=#REF!,4,5))))</f>
        <v>3</v>
      </c>
      <c r="O26" s="95">
        <f t="shared" si="2"/>
        <v>3.0828199863107462</v>
      </c>
      <c r="P26" s="96">
        <f>IF(O26&lt;='Ancienneté - Sexe'!$B$3,1,IF(M26&lt;='Ancienneté - Sexe'!$B$4,2,IF(M26&lt;='Ancienneté - Sexe'!$B$5,3,IF(M26&lt;='Ancienneté - Sexe'!B28,4,5))))</f>
        <v>1</v>
      </c>
      <c r="Q26" s="96">
        <f t="shared" si="3"/>
        <v>12</v>
      </c>
      <c r="R26" s="96">
        <f t="shared" si="4"/>
        <v>54566</v>
      </c>
      <c r="S26" s="96">
        <f>IF(R26&lt;=Rémunération!$D$4,1,IF(R26&lt;=Rémunération!$D$5,2,IF(R26&lt;=Rémunération!$D$6,3,IF(R26&lt;=Rémunération!$D$7,4,5))))</f>
        <v>3</v>
      </c>
      <c r="T26" s="13"/>
      <c r="W26" t="s">
        <v>112</v>
      </c>
      <c r="X26" s="14"/>
    </row>
    <row r="27" spans="1:38" x14ac:dyDescent="0.35">
      <c r="A27" s="1"/>
      <c r="B27" s="47" t="s">
        <v>38</v>
      </c>
      <c r="C27" s="7" t="s">
        <v>9</v>
      </c>
      <c r="D27" s="51">
        <v>30917</v>
      </c>
      <c r="E27" s="54">
        <v>39661</v>
      </c>
      <c r="F27" s="53">
        <v>3</v>
      </c>
      <c r="G27" s="35">
        <v>46356</v>
      </c>
      <c r="H27" s="8">
        <v>0</v>
      </c>
      <c r="I27" s="9">
        <v>1</v>
      </c>
      <c r="J27" s="11" t="s">
        <v>130</v>
      </c>
      <c r="K27" s="48" t="s">
        <v>130</v>
      </c>
      <c r="L27" s="92" t="str">
        <f t="shared" si="0"/>
        <v>Individu_29</v>
      </c>
      <c r="M27" s="95">
        <f t="shared" si="1"/>
        <v>37.355236139630392</v>
      </c>
      <c r="N27" s="96">
        <f>IF(M27&lt;='Age - Sexe'!$B$3,1,IF(M27&lt;='Age - Sexe'!$B$4,2,IF(M27&lt;='Age - Sexe'!$B$5,3,IF(M27&lt;=#REF!,4,5))))</f>
        <v>3</v>
      </c>
      <c r="O27" s="95">
        <f t="shared" si="2"/>
        <v>13.415468856947296</v>
      </c>
      <c r="P27" s="96">
        <f>IF(O27&lt;='Ancienneté - Sexe'!$B$3,1,IF(M27&lt;='Ancienneté - Sexe'!$B$4,2,IF(M27&lt;='Ancienneté - Sexe'!$B$5,3,IF(M27&lt;='Ancienneté - Sexe'!B29,4,5))))</f>
        <v>5</v>
      </c>
      <c r="Q27" s="96">
        <f t="shared" si="3"/>
        <v>12</v>
      </c>
      <c r="R27" s="96">
        <f t="shared" si="4"/>
        <v>46356</v>
      </c>
      <c r="S27" s="96">
        <f>IF(R27&lt;=Rémunération!$D$4,1,IF(R27&lt;=Rémunération!$D$5,2,IF(R27&lt;=Rémunération!$D$6,3,IF(R27&lt;=Rémunération!$D$7,4,5))))</f>
        <v>3</v>
      </c>
      <c r="T27" s="13"/>
      <c r="W27" t="s">
        <v>113</v>
      </c>
      <c r="X27" s="14"/>
      <c r="AA27" s="39" t="s">
        <v>235</v>
      </c>
    </row>
    <row r="28" spans="1:38" ht="13.15" x14ac:dyDescent="0.4">
      <c r="A28" s="1"/>
      <c r="B28" s="47" t="s">
        <v>40</v>
      </c>
      <c r="C28" s="7" t="s">
        <v>8</v>
      </c>
      <c r="D28" s="51">
        <v>32117</v>
      </c>
      <c r="E28" s="54">
        <v>41699</v>
      </c>
      <c r="F28" s="53">
        <v>4</v>
      </c>
      <c r="G28" s="35">
        <v>127272</v>
      </c>
      <c r="H28" s="8">
        <v>0</v>
      </c>
      <c r="I28" s="9">
        <v>1</v>
      </c>
      <c r="J28" s="11" t="s">
        <v>130</v>
      </c>
      <c r="K28" s="48" t="s">
        <v>130</v>
      </c>
      <c r="L28" s="92" t="str">
        <f t="shared" si="0"/>
        <v>Individu_31</v>
      </c>
      <c r="M28" s="95">
        <f t="shared" si="1"/>
        <v>34.069815195071868</v>
      </c>
      <c r="N28" s="96">
        <f>IF(M28&lt;='Age - Sexe'!$B$3,1,IF(M28&lt;='Age - Sexe'!$B$4,2,IF(M28&lt;='Age - Sexe'!$B$5,3,IF(M28&lt;=#REF!,4,5))))</f>
        <v>2</v>
      </c>
      <c r="O28" s="95">
        <f t="shared" si="2"/>
        <v>7.8357289527720742</v>
      </c>
      <c r="P28" s="96">
        <f>IF(O28&lt;='Ancienneté - Sexe'!$B$3,1,IF(M28&lt;='Ancienneté - Sexe'!$B$4,2,IF(M28&lt;='Ancienneté - Sexe'!$B$5,3,IF(M28&lt;='Ancienneté - Sexe'!B30,4,5))))</f>
        <v>5</v>
      </c>
      <c r="Q28" s="96">
        <f t="shared" si="3"/>
        <v>12</v>
      </c>
      <c r="R28" s="96">
        <f t="shared" si="4"/>
        <v>127272</v>
      </c>
      <c r="S28" s="96">
        <f>IF(R28&lt;=Rémunération!$D$4,1,IF(R28&lt;=Rémunération!$D$5,2,IF(R28&lt;=Rémunération!$D$6,3,IF(R28&lt;=Rémunération!$D$7,4,5))))</f>
        <v>5</v>
      </c>
      <c r="T28" s="13"/>
      <c r="U28" s="2" t="s">
        <v>107</v>
      </c>
      <c r="W28" t="s">
        <v>110</v>
      </c>
      <c r="X28" s="14"/>
    </row>
    <row r="29" spans="1:38" x14ac:dyDescent="0.35">
      <c r="A29" s="1"/>
      <c r="B29" s="47" t="s">
        <v>41</v>
      </c>
      <c r="C29" s="7" t="s">
        <v>8</v>
      </c>
      <c r="D29" s="51">
        <v>32815</v>
      </c>
      <c r="E29" s="54">
        <v>41883</v>
      </c>
      <c r="F29" s="53">
        <v>3</v>
      </c>
      <c r="G29" s="35">
        <v>52174</v>
      </c>
      <c r="H29" s="8">
        <v>1</v>
      </c>
      <c r="I29" s="9">
        <v>1</v>
      </c>
      <c r="J29" s="11" t="s">
        <v>130</v>
      </c>
      <c r="K29" s="48" t="s">
        <v>130</v>
      </c>
      <c r="L29" s="92" t="str">
        <f t="shared" si="0"/>
        <v>Individu_32</v>
      </c>
      <c r="M29" s="95">
        <f t="shared" si="1"/>
        <v>32.158795345653665</v>
      </c>
      <c r="N29" s="96">
        <f>IF(M29&lt;='Age - Sexe'!$B$3,1,IF(M29&lt;='Age - Sexe'!$B$4,2,IF(M29&lt;='Age - Sexe'!$B$5,3,IF(M29&lt;='Sorties - Sexe'!B1,4,5))))</f>
        <v>2</v>
      </c>
      <c r="O29" s="95">
        <f t="shared" si="2"/>
        <v>7.3319644079397674</v>
      </c>
      <c r="P29" s="96">
        <f>IF(O29&lt;='Ancienneté - Sexe'!$B$3,1,IF(M29&lt;='Ancienneté - Sexe'!$B$4,2,IF(M29&lt;='Ancienneté - Sexe'!$B$5,3,IF(M29&lt;='Ancienneté - Sexe'!B31,4,5))))</f>
        <v>5</v>
      </c>
      <c r="Q29" s="96">
        <f t="shared" si="3"/>
        <v>12</v>
      </c>
      <c r="R29" s="96">
        <f t="shared" si="4"/>
        <v>52174</v>
      </c>
      <c r="S29" s="96">
        <f>IF(R29&lt;=Rémunération!$D$4,1,IF(R29&lt;=Rémunération!$D$5,2,IF(R29&lt;=Rémunération!$D$6,3,IF(R29&lt;=Rémunération!$D$7,4,5))))</f>
        <v>3</v>
      </c>
      <c r="T29" s="13"/>
      <c r="X29" s="14"/>
      <c r="AA29" s="39" t="s">
        <v>236</v>
      </c>
    </row>
    <row r="30" spans="1:38" ht="13.15" x14ac:dyDescent="0.4">
      <c r="A30" s="1"/>
      <c r="B30" s="47" t="s">
        <v>42</v>
      </c>
      <c r="C30" s="7" t="s">
        <v>8</v>
      </c>
      <c r="D30" s="51">
        <v>33158</v>
      </c>
      <c r="E30" s="54">
        <v>41000</v>
      </c>
      <c r="F30" s="53">
        <v>1</v>
      </c>
      <c r="G30" s="35">
        <v>27082</v>
      </c>
      <c r="H30" s="8">
        <v>5</v>
      </c>
      <c r="I30" s="9">
        <v>1</v>
      </c>
      <c r="J30" s="11" t="s">
        <v>130</v>
      </c>
      <c r="K30" s="48" t="s">
        <v>130</v>
      </c>
      <c r="L30" s="92" t="str">
        <f t="shared" si="0"/>
        <v>Individu_33</v>
      </c>
      <c r="M30" s="95">
        <f t="shared" si="1"/>
        <v>31.219712525667351</v>
      </c>
      <c r="N30" s="96">
        <f>IF(M30&lt;='Age - Sexe'!$B$3,1,IF(M30&lt;='Age - Sexe'!$B$4,2,IF(M30&lt;='Age - Sexe'!$B$5,3,IF(M30&lt;='Sorties - Sexe'!B2,4,5))))</f>
        <v>2</v>
      </c>
      <c r="O30" s="95">
        <f t="shared" si="2"/>
        <v>9.7494866529774136</v>
      </c>
      <c r="P30" s="96">
        <f>IF(O30&lt;='Ancienneté - Sexe'!$B$3,1,IF(M30&lt;='Ancienneté - Sexe'!$B$4,2,IF(M30&lt;='Ancienneté - Sexe'!$B$5,3,IF(M30&lt;='Ancienneté - Sexe'!B32,4,5))))</f>
        <v>5</v>
      </c>
      <c r="Q30" s="96">
        <f t="shared" si="3"/>
        <v>12</v>
      </c>
      <c r="R30" s="96">
        <f t="shared" si="4"/>
        <v>27082</v>
      </c>
      <c r="S30" s="96">
        <f>IF(R30&lt;=Rémunération!$D$4,1,IF(R30&lt;=Rémunération!$D$5,2,IF(R30&lt;=Rémunération!$D$6,3,IF(R30&lt;=Rémunération!$D$7,4,5))))</f>
        <v>1</v>
      </c>
      <c r="T30" s="13"/>
      <c r="U30" s="20" t="s">
        <v>108</v>
      </c>
      <c r="W30" t="s">
        <v>109</v>
      </c>
      <c r="X30" s="14"/>
    </row>
    <row r="31" spans="1:38" x14ac:dyDescent="0.35">
      <c r="A31" s="1"/>
      <c r="B31" s="47" t="s">
        <v>43</v>
      </c>
      <c r="C31" s="7" t="s">
        <v>8</v>
      </c>
      <c r="D31" s="51">
        <v>33454</v>
      </c>
      <c r="E31" s="54">
        <v>43101</v>
      </c>
      <c r="F31" s="53">
        <v>1</v>
      </c>
      <c r="G31" s="35">
        <v>25951</v>
      </c>
      <c r="H31" s="8">
        <v>10</v>
      </c>
      <c r="I31" s="9">
        <v>1</v>
      </c>
      <c r="J31" s="11" t="s">
        <v>130</v>
      </c>
      <c r="K31" s="48" t="s">
        <v>130</v>
      </c>
      <c r="L31" s="92" t="str">
        <f t="shared" si="0"/>
        <v>Individu_34</v>
      </c>
      <c r="M31" s="95">
        <f t="shared" si="1"/>
        <v>30.409308692676248</v>
      </c>
      <c r="N31" s="96">
        <f>IF(M31&lt;='Age - Sexe'!$B$3,1,IF(M31&lt;='Age - Sexe'!$B$4,2,IF(M31&lt;='Age - Sexe'!$B$5,3,IF(M31&lt;='Sorties - Sexe'!B3,4,5))))</f>
        <v>2</v>
      </c>
      <c r="O31" s="95">
        <f t="shared" si="2"/>
        <v>3.9972621492128679</v>
      </c>
      <c r="P31" s="96">
        <f>IF(O31&lt;='Ancienneté - Sexe'!$B$3,1,IF(M31&lt;='Ancienneté - Sexe'!$B$4,2,IF(M31&lt;='Ancienneté - Sexe'!$B$5,3,IF(M31&lt;='Ancienneté - Sexe'!B33,4,5))))</f>
        <v>1</v>
      </c>
      <c r="Q31" s="96">
        <f t="shared" si="3"/>
        <v>12</v>
      </c>
      <c r="R31" s="96">
        <f t="shared" si="4"/>
        <v>25951</v>
      </c>
      <c r="S31" s="96">
        <f>IF(R31&lt;=Rémunération!$D$4,1,IF(R31&lt;=Rémunération!$D$5,2,IF(R31&lt;=Rémunération!$D$6,3,IF(R31&lt;=Rémunération!$D$7,4,5))))</f>
        <v>1</v>
      </c>
      <c r="T31" s="13"/>
      <c r="X31" s="14"/>
      <c r="AA31" s="39" t="s">
        <v>214</v>
      </c>
    </row>
    <row r="32" spans="1:38" ht="13.9" customHeight="1" x14ac:dyDescent="0.4">
      <c r="A32" s="1"/>
      <c r="B32" s="47" t="s">
        <v>45</v>
      </c>
      <c r="C32" s="7" t="s">
        <v>8</v>
      </c>
      <c r="D32" s="51">
        <v>33855</v>
      </c>
      <c r="E32" s="54">
        <v>42583</v>
      </c>
      <c r="F32" s="53">
        <v>1</v>
      </c>
      <c r="G32" s="35">
        <v>28732</v>
      </c>
      <c r="H32" s="8">
        <v>0</v>
      </c>
      <c r="I32" s="9">
        <v>1</v>
      </c>
      <c r="J32" s="11" t="s">
        <v>130</v>
      </c>
      <c r="K32" s="48" t="s">
        <v>130</v>
      </c>
      <c r="L32" s="92" t="str">
        <f t="shared" si="0"/>
        <v>Individu_36</v>
      </c>
      <c r="M32" s="95">
        <f t="shared" si="1"/>
        <v>29.311430527036276</v>
      </c>
      <c r="N32" s="96">
        <f>IF(M32&lt;='Age - Sexe'!$B$3,1,IF(M32&lt;='Age - Sexe'!$B$4,2,IF(M32&lt;='Age - Sexe'!$B$5,3,IF(M32&lt;='Sorties - Sexe'!B4,4,5))))</f>
        <v>2</v>
      </c>
      <c r="O32" s="95">
        <f t="shared" si="2"/>
        <v>5.415468856947296</v>
      </c>
      <c r="P32" s="96">
        <f>IF(O32&lt;='Ancienneté - Sexe'!$B$3,1,IF(M32&lt;='Ancienneté - Sexe'!$B$4,2,IF(M32&lt;='Ancienneté - Sexe'!$B$5,3,IF(M32&lt;='Ancienneté - Sexe'!B34,4,5))))</f>
        <v>1</v>
      </c>
      <c r="Q32" s="96">
        <f t="shared" si="3"/>
        <v>12</v>
      </c>
      <c r="R32" s="96">
        <f t="shared" si="4"/>
        <v>28732</v>
      </c>
      <c r="S32" s="96">
        <f>IF(R32&lt;=Rémunération!$D$4,1,IF(R32&lt;=Rémunération!$D$5,2,IF(R32&lt;=Rémunération!$D$6,3,IF(R32&lt;=Rémunération!$D$7,4,5))))</f>
        <v>1</v>
      </c>
      <c r="T32" s="13"/>
      <c r="U32" s="2" t="s">
        <v>6</v>
      </c>
      <c r="V32">
        <v>1</v>
      </c>
      <c r="W32" t="s">
        <v>94</v>
      </c>
      <c r="X32" s="14"/>
      <c r="AL32" s="134"/>
    </row>
    <row r="33" spans="1:38" ht="13.15" x14ac:dyDescent="0.4">
      <c r="A33" s="1"/>
      <c r="B33" s="47" t="s">
        <v>46</v>
      </c>
      <c r="C33" s="7" t="s">
        <v>9</v>
      </c>
      <c r="D33" s="51">
        <v>34502</v>
      </c>
      <c r="E33" s="54">
        <v>42156</v>
      </c>
      <c r="F33" s="53">
        <v>1</v>
      </c>
      <c r="G33" s="35">
        <v>27082</v>
      </c>
      <c r="H33" s="8">
        <v>0</v>
      </c>
      <c r="I33" s="9">
        <v>1</v>
      </c>
      <c r="J33" s="11" t="s">
        <v>130</v>
      </c>
      <c r="K33" s="48" t="s">
        <v>130</v>
      </c>
      <c r="L33" s="92" t="str">
        <f t="shared" si="0"/>
        <v>Individu_37</v>
      </c>
      <c r="M33" s="95">
        <f t="shared" si="1"/>
        <v>27.540041067761805</v>
      </c>
      <c r="N33" s="96">
        <f>IF(M33&lt;='Age - Sexe'!$B$3,1,IF(M33&lt;='Age - Sexe'!$B$4,2,IF(M33&lt;='Age - Sexe'!$B$5,3,IF(M33&lt;='Sorties - Sexe'!B5,4,5))))</f>
        <v>2</v>
      </c>
      <c r="O33" s="95">
        <f t="shared" si="2"/>
        <v>6.584531143052704</v>
      </c>
      <c r="P33" s="96">
        <f>IF(O33&lt;='Ancienneté - Sexe'!$B$3,1,IF(M33&lt;='Ancienneté - Sexe'!$B$4,2,IF(M33&lt;='Ancienneté - Sexe'!$B$5,3,IF(M33&lt;='Ancienneté - Sexe'!B35,4,5))))</f>
        <v>3</v>
      </c>
      <c r="Q33" s="96">
        <f t="shared" si="3"/>
        <v>12</v>
      </c>
      <c r="R33" s="96">
        <f t="shared" si="4"/>
        <v>27082</v>
      </c>
      <c r="S33" s="96">
        <f>IF(R33&lt;=Rémunération!$D$4,1,IF(R33&lt;=Rémunération!$D$5,2,IF(R33&lt;=Rémunération!$D$6,3,IF(R33&lt;=Rémunération!$D$7,4,5))))</f>
        <v>1</v>
      </c>
      <c r="T33" s="13"/>
      <c r="V33">
        <v>2</v>
      </c>
      <c r="W33" t="s">
        <v>95</v>
      </c>
      <c r="X33" s="14"/>
      <c r="AL33" s="57"/>
    </row>
    <row r="34" spans="1:38" x14ac:dyDescent="0.35">
      <c r="A34" s="1"/>
      <c r="B34" s="47" t="s">
        <v>47</v>
      </c>
      <c r="C34" s="7" t="s">
        <v>8</v>
      </c>
      <c r="D34" s="51">
        <v>34698</v>
      </c>
      <c r="E34" s="54">
        <v>42156</v>
      </c>
      <c r="F34" s="53">
        <v>1</v>
      </c>
      <c r="G34" s="35">
        <v>26252</v>
      </c>
      <c r="H34" s="8">
        <v>2</v>
      </c>
      <c r="I34" s="9">
        <v>1</v>
      </c>
      <c r="J34" s="11" t="s">
        <v>130</v>
      </c>
      <c r="K34" s="48" t="s">
        <v>130</v>
      </c>
      <c r="L34" s="92" t="str">
        <f t="shared" si="0"/>
        <v>Individu_38</v>
      </c>
      <c r="M34" s="95">
        <f t="shared" si="1"/>
        <v>27.003422313483917</v>
      </c>
      <c r="N34" s="96">
        <f>IF(M34&lt;='Age - Sexe'!$B$3,1,IF(M34&lt;='Age - Sexe'!$B$4,2,IF(M34&lt;='Age - Sexe'!$B$5,3,IF(M34&lt;='Sorties - Sexe'!B6,4,5))))</f>
        <v>2</v>
      </c>
      <c r="O34" s="95">
        <f t="shared" si="2"/>
        <v>6.584531143052704</v>
      </c>
      <c r="P34" s="96">
        <f>IF(O34&lt;='Ancienneté - Sexe'!$B$3,1,IF(M34&lt;='Ancienneté - Sexe'!$B$4,2,IF(M34&lt;='Ancienneté - Sexe'!$B$5,3,IF(M34&lt;='Ancienneté - Sexe'!B36,4,5))))</f>
        <v>3</v>
      </c>
      <c r="Q34" s="96">
        <f t="shared" si="3"/>
        <v>12</v>
      </c>
      <c r="R34" s="96">
        <f t="shared" si="4"/>
        <v>26252</v>
      </c>
      <c r="S34" s="96">
        <f>IF(R34&lt;=Rémunération!$D$4,1,IF(R34&lt;=Rémunération!$D$5,2,IF(R34&lt;=Rémunération!$D$6,3,IF(R34&lt;=Rémunération!$D$7,4,5))))</f>
        <v>1</v>
      </c>
      <c r="T34" s="13"/>
      <c r="V34">
        <v>3</v>
      </c>
      <c r="W34" t="s">
        <v>96</v>
      </c>
      <c r="X34" s="14"/>
      <c r="AA34" t="s">
        <v>237</v>
      </c>
    </row>
    <row r="35" spans="1:38" x14ac:dyDescent="0.35">
      <c r="A35" s="1"/>
      <c r="B35" s="47" t="s">
        <v>49</v>
      </c>
      <c r="C35" s="7" t="s">
        <v>9</v>
      </c>
      <c r="D35" s="51">
        <v>36065</v>
      </c>
      <c r="E35" s="54">
        <v>43282</v>
      </c>
      <c r="F35" s="53">
        <v>1</v>
      </c>
      <c r="G35" s="35">
        <v>26059</v>
      </c>
      <c r="H35" s="8">
        <v>0</v>
      </c>
      <c r="I35" s="9">
        <v>1</v>
      </c>
      <c r="J35" s="11" t="s">
        <v>130</v>
      </c>
      <c r="K35" s="48" t="s">
        <v>130</v>
      </c>
      <c r="L35" s="92" t="str">
        <f t="shared" si="0"/>
        <v>Individu_40</v>
      </c>
      <c r="M35" s="95">
        <f t="shared" si="1"/>
        <v>23.260780287474333</v>
      </c>
      <c r="N35" s="96">
        <f>IF(M35&lt;='Age - Sexe'!$B$3,1,IF(M35&lt;='Age - Sexe'!$B$4,2,IF(M35&lt;='Age - Sexe'!$B$5,3,IF(M35&lt;='Sorties - Sexe'!B7,4,5))))</f>
        <v>1</v>
      </c>
      <c r="O35" s="95">
        <f t="shared" si="2"/>
        <v>3.5017111567419574</v>
      </c>
      <c r="P35" s="96">
        <f>IF(O35&lt;='Ancienneté - Sexe'!$B$3,1,IF(M35&lt;='Ancienneté - Sexe'!$B$4,2,IF(M35&lt;='Ancienneté - Sexe'!$B$5,3,IF(M35&lt;='Ancienneté - Sexe'!B37,4,5))))</f>
        <v>1</v>
      </c>
      <c r="Q35" s="96">
        <f t="shared" si="3"/>
        <v>12</v>
      </c>
      <c r="R35" s="96">
        <f t="shared" si="4"/>
        <v>26059</v>
      </c>
      <c r="S35" s="96">
        <f>IF(R35&lt;=Rémunération!$D$4,1,IF(R35&lt;=Rémunération!$D$5,2,IF(R35&lt;=Rémunération!$D$6,3,IF(R35&lt;=Rémunération!$D$7,4,5))))</f>
        <v>1</v>
      </c>
      <c r="T35" s="13"/>
      <c r="V35">
        <v>4</v>
      </c>
      <c r="W35" t="s">
        <v>97</v>
      </c>
      <c r="X35" s="14"/>
      <c r="AA35" s="39"/>
    </row>
    <row r="36" spans="1:38" x14ac:dyDescent="0.35">
      <c r="A36" s="1"/>
      <c r="B36" s="47" t="s">
        <v>53</v>
      </c>
      <c r="C36" s="7" t="s">
        <v>8</v>
      </c>
      <c r="D36" s="51">
        <v>34633</v>
      </c>
      <c r="E36" s="54">
        <v>41334</v>
      </c>
      <c r="F36" s="53">
        <v>3</v>
      </c>
      <c r="G36" s="35">
        <v>50237</v>
      </c>
      <c r="H36" s="7">
        <v>2</v>
      </c>
      <c r="I36" s="9">
        <v>1</v>
      </c>
      <c r="J36" s="11" t="s">
        <v>130</v>
      </c>
      <c r="K36" s="48" t="s">
        <v>130</v>
      </c>
      <c r="L36" s="92" t="str">
        <f t="shared" ref="L36:L67" si="5">B36</f>
        <v>Individu_41</v>
      </c>
      <c r="M36" s="95">
        <f t="shared" ref="M36:M67" si="6">($I$1-D36)/365.25</f>
        <v>27.1813826146475</v>
      </c>
      <c r="N36" s="96">
        <f>IF(M36&lt;='Age - Sexe'!$B$3,1,IF(M36&lt;='Age - Sexe'!$B$4,2,IF(M36&lt;='Age - Sexe'!$B$5,3,IF(M36&lt;='Sorties - Sexe'!B8,4,5))))</f>
        <v>2</v>
      </c>
      <c r="O36" s="95">
        <f t="shared" ref="O36:O67" si="7">($I$1-E36)/365.25</f>
        <v>8.8350444900752905</v>
      </c>
      <c r="P36" s="96">
        <f>IF(O36&lt;='Ancienneté - Sexe'!$B$3,1,IF(M36&lt;='Ancienneté - Sexe'!$B$4,2,IF(M36&lt;='Ancienneté - Sexe'!$B$5,3,IF(M36&lt;='Ancienneté - Sexe'!B38,4,5))))</f>
        <v>3</v>
      </c>
      <c r="Q36" s="96">
        <f t="shared" ref="Q36:Q83" si="8">IF(ISNUMBER(J36),MONTH(J36),12)-IF(YEAR(E36)&lt;2020,0,MONTH(E36)-1)</f>
        <v>12</v>
      </c>
      <c r="R36" s="96">
        <f t="shared" si="4"/>
        <v>50237</v>
      </c>
      <c r="S36" s="96">
        <f>IF(R36&lt;=Rémunération!$D$4,1,IF(R36&lt;=Rémunération!$D$5,2,IF(R36&lt;=Rémunération!$D$6,3,IF(R36&lt;=Rémunération!$D$7,4,5))))</f>
        <v>3</v>
      </c>
      <c r="T36" s="13"/>
      <c r="V36">
        <v>5</v>
      </c>
      <c r="W36" t="s">
        <v>98</v>
      </c>
      <c r="X36" s="14"/>
      <c r="AA36" s="175" t="s">
        <v>238</v>
      </c>
    </row>
    <row r="37" spans="1:38" x14ac:dyDescent="0.35">
      <c r="A37" s="1"/>
      <c r="B37" s="47" t="s">
        <v>55</v>
      </c>
      <c r="C37" s="7" t="s">
        <v>9</v>
      </c>
      <c r="D37" s="51">
        <v>28568</v>
      </c>
      <c r="E37" s="54">
        <v>36892</v>
      </c>
      <c r="F37" s="53">
        <v>4</v>
      </c>
      <c r="G37" s="35">
        <v>103749</v>
      </c>
      <c r="H37" s="7">
        <v>0</v>
      </c>
      <c r="I37" s="9">
        <v>1</v>
      </c>
      <c r="J37" s="11" t="s">
        <v>130</v>
      </c>
      <c r="K37" s="48" t="s">
        <v>130</v>
      </c>
      <c r="L37" s="92" t="str">
        <f t="shared" si="5"/>
        <v>Individu_43</v>
      </c>
      <c r="M37" s="95">
        <f t="shared" si="6"/>
        <v>43.786447638603697</v>
      </c>
      <c r="N37" s="96">
        <f>IF(M37&lt;='Age - Sexe'!$B$3,1,IF(M37&lt;='Age - Sexe'!$B$4,2,IF(M37&lt;='Age - Sexe'!$B$5,3,IF(M37&lt;='Sorties - Sexe'!B9,4,5))))</f>
        <v>4</v>
      </c>
      <c r="O37" s="95">
        <f t="shared" si="7"/>
        <v>20.996577686516083</v>
      </c>
      <c r="P37" s="96">
        <f>IF(O37&lt;='Ancienneté - Sexe'!$B$3,1,IF(M37&lt;='Ancienneté - Sexe'!$B$4,2,IF(M37&lt;='Ancienneté - Sexe'!$B$5,3,IF(M37&lt;='Ancienneté - Sexe'!B39,4,5))))</f>
        <v>5</v>
      </c>
      <c r="Q37" s="96">
        <f t="shared" si="8"/>
        <v>12</v>
      </c>
      <c r="R37" s="96">
        <f t="shared" si="4"/>
        <v>103749</v>
      </c>
      <c r="S37" s="96">
        <f>IF(R37&lt;=Rémunération!$D$4,1,IF(R37&lt;=Rémunération!$D$5,2,IF(R37&lt;=Rémunération!$D$6,3,IF(R37&lt;=Rémunération!$D$7,4,5))))</f>
        <v>4</v>
      </c>
      <c r="T37" s="13"/>
      <c r="V37">
        <v>6</v>
      </c>
      <c r="W37" t="s">
        <v>99</v>
      </c>
      <c r="X37" s="14"/>
      <c r="AA37" s="176"/>
    </row>
    <row r="38" spans="1:38" x14ac:dyDescent="0.35">
      <c r="A38" s="1"/>
      <c r="B38" s="47" t="s">
        <v>56</v>
      </c>
      <c r="C38" s="7" t="s">
        <v>8</v>
      </c>
      <c r="D38" s="51">
        <v>29704</v>
      </c>
      <c r="E38" s="54">
        <v>42491</v>
      </c>
      <c r="F38" s="53">
        <v>1</v>
      </c>
      <c r="G38" s="35">
        <v>23826</v>
      </c>
      <c r="H38" s="7">
        <v>0</v>
      </c>
      <c r="I38" s="9">
        <v>0.8</v>
      </c>
      <c r="J38" s="11" t="s">
        <v>130</v>
      </c>
      <c r="K38" s="48" t="s">
        <v>130</v>
      </c>
      <c r="L38" s="92" t="str">
        <f t="shared" si="5"/>
        <v>Individu_44</v>
      </c>
      <c r="M38" s="95">
        <f t="shared" si="6"/>
        <v>40.676249144421632</v>
      </c>
      <c r="N38" s="96">
        <f>IF(M38&lt;='Age - Sexe'!$B$3,1,IF(M38&lt;='Age - Sexe'!$B$4,2,IF(M38&lt;='Age - Sexe'!$B$5,3,IF(M38&lt;=AB100,4,5))))</f>
        <v>3</v>
      </c>
      <c r="O38" s="95">
        <f t="shared" si="7"/>
        <v>5.6673511293634498</v>
      </c>
      <c r="P38" s="96">
        <f>IF(O38&lt;='Ancienneté - Sexe'!$B$3,1,IF(M38&lt;='Ancienneté - Sexe'!$B$4,2,IF(M38&lt;='Ancienneté - Sexe'!$B$5,3,IF(M38&lt;='Ancienneté - Sexe'!B40,4,5))))</f>
        <v>1</v>
      </c>
      <c r="Q38" s="96">
        <f t="shared" si="8"/>
        <v>12</v>
      </c>
      <c r="R38" s="96">
        <f t="shared" si="4"/>
        <v>29782.5</v>
      </c>
      <c r="S38" s="96">
        <f>IF(R38&lt;=Rémunération!$D$4,1,IF(R38&lt;=Rémunération!$D$5,2,IF(R38&lt;=Rémunération!$D$6,3,IF(R38&lt;=Rémunération!$D$7,4,5))))</f>
        <v>1</v>
      </c>
      <c r="T38" s="13"/>
      <c r="V38">
        <v>7</v>
      </c>
      <c r="W38" t="s">
        <v>100</v>
      </c>
      <c r="X38" s="14"/>
      <c r="AA38" s="175" t="s">
        <v>239</v>
      </c>
    </row>
    <row r="39" spans="1:38" x14ac:dyDescent="0.35">
      <c r="A39" s="1"/>
      <c r="B39" s="47" t="s">
        <v>57</v>
      </c>
      <c r="C39" s="7" t="s">
        <v>8</v>
      </c>
      <c r="D39" s="51">
        <v>30563</v>
      </c>
      <c r="E39" s="54">
        <v>43435</v>
      </c>
      <c r="F39" s="53">
        <v>1</v>
      </c>
      <c r="G39" s="35">
        <v>27903</v>
      </c>
      <c r="H39" s="7">
        <v>0</v>
      </c>
      <c r="I39" s="9">
        <v>1</v>
      </c>
      <c r="J39" s="11" t="s">
        <v>130</v>
      </c>
      <c r="K39" s="48" t="s">
        <v>130</v>
      </c>
      <c r="L39" s="92" t="str">
        <f t="shared" si="5"/>
        <v>Individu_45</v>
      </c>
      <c r="M39" s="95">
        <f t="shared" si="6"/>
        <v>38.324435318275157</v>
      </c>
      <c r="N39" s="96">
        <f>IF(M39&lt;='Age - Sexe'!$B$3,1,IF(M39&lt;='Age - Sexe'!$B$4,2,IF(M39&lt;='Age - Sexe'!$B$5,3,IF(M39&lt;=AB101,4,5))))</f>
        <v>3</v>
      </c>
      <c r="O39" s="95">
        <f t="shared" si="7"/>
        <v>3.0828199863107462</v>
      </c>
      <c r="P39" s="96">
        <f>IF(O39&lt;='Ancienneté - Sexe'!$B$3,1,IF(M39&lt;='Ancienneté - Sexe'!$B$4,2,IF(M39&lt;='Ancienneté - Sexe'!$B$5,3,IF(M39&lt;='Ancienneté - Sexe'!B41,4,5))))</f>
        <v>1</v>
      </c>
      <c r="Q39" s="96">
        <f t="shared" si="8"/>
        <v>12</v>
      </c>
      <c r="R39" s="96">
        <f t="shared" si="4"/>
        <v>27903</v>
      </c>
      <c r="S39" s="96">
        <f>IF(R39&lt;=Rémunération!$D$4,1,IF(R39&lt;=Rémunération!$D$5,2,IF(R39&lt;=Rémunération!$D$6,3,IF(R39&lt;=Rémunération!$D$7,4,5))))</f>
        <v>1</v>
      </c>
      <c r="T39" s="13"/>
      <c r="X39" s="14"/>
      <c r="AA39" s="175"/>
    </row>
    <row r="40" spans="1:38" ht="13.15" x14ac:dyDescent="0.4">
      <c r="A40" s="1"/>
      <c r="B40" s="90" t="s">
        <v>60</v>
      </c>
      <c r="C40" s="7" t="s">
        <v>8</v>
      </c>
      <c r="D40" s="51">
        <v>36173</v>
      </c>
      <c r="E40" s="54">
        <v>43617</v>
      </c>
      <c r="F40" s="53">
        <v>1</v>
      </c>
      <c r="G40" s="35">
        <v>27854</v>
      </c>
      <c r="H40" s="7">
        <v>26</v>
      </c>
      <c r="I40" s="9">
        <v>1</v>
      </c>
      <c r="J40" s="11" t="s">
        <v>130</v>
      </c>
      <c r="K40" s="48" t="s">
        <v>130</v>
      </c>
      <c r="L40" s="92" t="str">
        <f t="shared" si="5"/>
        <v>Individu_48</v>
      </c>
      <c r="M40" s="95">
        <f t="shared" si="6"/>
        <v>22.965092402464066</v>
      </c>
      <c r="N40" s="96">
        <f>IF(M40&lt;='Age - Sexe'!$B$3,1,IF(M40&lt;='Age - Sexe'!$B$4,2,IF(M40&lt;='Age - Sexe'!$B$5,3,IF(M40&lt;=AB102,4,5))))</f>
        <v>1</v>
      </c>
      <c r="O40" s="95">
        <f t="shared" si="7"/>
        <v>2.5845311430527036</v>
      </c>
      <c r="P40" s="96">
        <f>IF(O40&lt;='Ancienneté - Sexe'!$B$3,1,IF(M40&lt;='Ancienneté - Sexe'!$B$4,2,IF(M40&lt;='Ancienneté - Sexe'!$B$5,3,IF(M40&lt;='Ancienneté - Sexe'!B42,4,5))))</f>
        <v>1</v>
      </c>
      <c r="Q40" s="96">
        <f t="shared" si="8"/>
        <v>12</v>
      </c>
      <c r="R40" s="96">
        <f t="shared" si="4"/>
        <v>27854</v>
      </c>
      <c r="S40" s="96">
        <f>IF(R40&lt;=Rémunération!$D$4,1,IF(R40&lt;=Rémunération!$D$5,2,IF(R40&lt;=Rémunération!$D$6,3,IF(R40&lt;=Rémunération!$D$7,4,5))))</f>
        <v>1</v>
      </c>
      <c r="T40" s="13"/>
      <c r="U40" s="21" t="s">
        <v>115</v>
      </c>
      <c r="X40" s="14"/>
      <c r="AA40" s="175" t="s">
        <v>240</v>
      </c>
    </row>
    <row r="41" spans="1:38" x14ac:dyDescent="0.35">
      <c r="A41" s="1"/>
      <c r="B41" s="47" t="s">
        <v>61</v>
      </c>
      <c r="C41" s="7" t="s">
        <v>8</v>
      </c>
      <c r="D41" s="51">
        <v>32980</v>
      </c>
      <c r="E41" s="54">
        <v>41883</v>
      </c>
      <c r="F41" s="53">
        <v>3</v>
      </c>
      <c r="G41" s="35">
        <v>54312</v>
      </c>
      <c r="H41" s="7">
        <v>0</v>
      </c>
      <c r="I41" s="9">
        <v>1</v>
      </c>
      <c r="J41" s="11" t="s">
        <v>130</v>
      </c>
      <c r="K41" s="48" t="s">
        <v>130</v>
      </c>
      <c r="L41" s="92" t="str">
        <f t="shared" si="5"/>
        <v>Individu_49</v>
      </c>
      <c r="M41" s="95">
        <f t="shared" si="6"/>
        <v>31.707049965776864</v>
      </c>
      <c r="N41" s="96">
        <f>IF(M41&lt;='Age - Sexe'!$B$3,1,IF(M41&lt;='Age - Sexe'!$B$4,2,IF(M41&lt;='Age - Sexe'!$B$5,3,IF(M41&lt;=AB103,4,5))))</f>
        <v>2</v>
      </c>
      <c r="O41" s="95">
        <f t="shared" si="7"/>
        <v>7.3319644079397674</v>
      </c>
      <c r="P41" s="96">
        <f>IF(O41&lt;='Ancienneté - Sexe'!$B$3,1,IF(M41&lt;='Ancienneté - Sexe'!$B$4,2,IF(M41&lt;='Ancienneté - Sexe'!$B$5,3,IF(M41&lt;='Ancienneté - Sexe'!B43,4,5))))</f>
        <v>5</v>
      </c>
      <c r="Q41" s="96">
        <f t="shared" si="8"/>
        <v>12</v>
      </c>
      <c r="R41" s="96">
        <f t="shared" si="4"/>
        <v>54312</v>
      </c>
      <c r="S41" s="96">
        <f>IF(R41&lt;=Rémunération!$D$4,1,IF(R41&lt;=Rémunération!$D$5,2,IF(R41&lt;=Rémunération!$D$6,3,IF(R41&lt;=Rémunération!$D$7,4,5))))</f>
        <v>3</v>
      </c>
      <c r="T41" s="13"/>
      <c r="X41" s="14"/>
    </row>
    <row r="42" spans="1:38" x14ac:dyDescent="0.35">
      <c r="A42" s="1"/>
      <c r="B42" s="47" t="s">
        <v>62</v>
      </c>
      <c r="C42" s="7" t="s">
        <v>9</v>
      </c>
      <c r="D42" s="51">
        <v>34560</v>
      </c>
      <c r="E42" s="54">
        <v>42156</v>
      </c>
      <c r="F42" s="53">
        <v>2</v>
      </c>
      <c r="G42" s="35">
        <v>44203</v>
      </c>
      <c r="H42" s="7">
        <v>1</v>
      </c>
      <c r="I42" s="9">
        <v>1</v>
      </c>
      <c r="J42" s="11" t="s">
        <v>130</v>
      </c>
      <c r="K42" s="48" t="s">
        <v>130</v>
      </c>
      <c r="L42" s="92" t="str">
        <f t="shared" si="5"/>
        <v>Individu_50</v>
      </c>
      <c r="M42" s="95">
        <f t="shared" si="6"/>
        <v>27.381245722108144</v>
      </c>
      <c r="N42" s="96">
        <f>IF(M42&lt;='Age - Sexe'!$B$3,1,IF(M42&lt;='Age - Sexe'!$B$4,2,IF(M42&lt;='Age - Sexe'!$B$5,3,IF(M42&lt;=AB104,4,5))))</f>
        <v>2</v>
      </c>
      <c r="O42" s="95">
        <f t="shared" si="7"/>
        <v>6.584531143052704</v>
      </c>
      <c r="P42" s="96">
        <f>IF(O42&lt;='Ancienneté - Sexe'!$B$3,1,IF(M42&lt;='Ancienneté - Sexe'!$B$4,2,IF(M42&lt;='Ancienneté - Sexe'!$B$5,3,IF(M42&lt;='Ancienneté - Sexe'!B44,4,5))))</f>
        <v>3</v>
      </c>
      <c r="Q42" s="96">
        <f t="shared" si="8"/>
        <v>12</v>
      </c>
      <c r="R42" s="96">
        <f t="shared" si="4"/>
        <v>44203</v>
      </c>
      <c r="S42" s="96">
        <f>IF(R42&lt;=Rémunération!$D$4,1,IF(R42&lt;=Rémunération!$D$5,2,IF(R42&lt;=Rémunération!$D$6,3,IF(R42&lt;=Rémunération!$D$7,4,5))))</f>
        <v>3</v>
      </c>
      <c r="T42" s="13"/>
      <c r="U42" t="s">
        <v>114</v>
      </c>
      <c r="X42" s="14"/>
    </row>
    <row r="43" spans="1:38" x14ac:dyDescent="0.35">
      <c r="A43" s="1"/>
      <c r="B43" s="47" t="s">
        <v>63</v>
      </c>
      <c r="C43" s="7" t="s">
        <v>8</v>
      </c>
      <c r="D43" s="51">
        <v>30981</v>
      </c>
      <c r="E43" s="54">
        <v>39661</v>
      </c>
      <c r="F43" s="53">
        <v>1</v>
      </c>
      <c r="G43" s="35">
        <v>27680</v>
      </c>
      <c r="H43" s="7">
        <v>0</v>
      </c>
      <c r="I43" s="9">
        <v>1</v>
      </c>
      <c r="J43" s="11" t="s">
        <v>130</v>
      </c>
      <c r="K43" s="48" t="s">
        <v>130</v>
      </c>
      <c r="L43" s="92" t="str">
        <f t="shared" si="5"/>
        <v>Individu_51</v>
      </c>
      <c r="M43" s="95">
        <f t="shared" si="6"/>
        <v>37.180013689253933</v>
      </c>
      <c r="N43" s="96">
        <f>IF(M43&lt;='Age - Sexe'!$B$3,1,IF(M43&lt;='Age - Sexe'!$B$4,2,IF(M43&lt;='Age - Sexe'!$B$5,3,IF(M43&lt;=AB105,4,5))))</f>
        <v>3</v>
      </c>
      <c r="O43" s="95">
        <f t="shared" si="7"/>
        <v>13.415468856947296</v>
      </c>
      <c r="P43" s="96">
        <f>IF(O43&lt;='Ancienneté - Sexe'!$B$3,1,IF(M43&lt;='Ancienneté - Sexe'!$B$4,2,IF(M43&lt;='Ancienneté - Sexe'!$B$5,3,IF(M43&lt;='Ancienneté - Sexe'!B45,4,5))))</f>
        <v>5</v>
      </c>
      <c r="Q43" s="96">
        <f t="shared" si="8"/>
        <v>12</v>
      </c>
      <c r="R43" s="96">
        <f t="shared" si="4"/>
        <v>27680</v>
      </c>
      <c r="S43" s="96">
        <f>IF(R43&lt;=Rémunération!$D$4,1,IF(R43&lt;=Rémunération!$D$5,2,IF(R43&lt;=Rémunération!$D$6,3,IF(R43&lt;=Rémunération!$D$7,4,5))))</f>
        <v>1</v>
      </c>
      <c r="T43" s="13"/>
      <c r="X43" s="14"/>
    </row>
    <row r="44" spans="1:38" x14ac:dyDescent="0.35">
      <c r="A44" s="1"/>
      <c r="B44" s="47" t="s">
        <v>65</v>
      </c>
      <c r="C44" s="7" t="s">
        <v>9</v>
      </c>
      <c r="D44" s="51">
        <v>26400</v>
      </c>
      <c r="E44" s="54">
        <v>35186</v>
      </c>
      <c r="F44" s="53">
        <v>2</v>
      </c>
      <c r="G44" s="35">
        <v>29245</v>
      </c>
      <c r="H44" s="7">
        <v>1</v>
      </c>
      <c r="I44" s="9">
        <v>1</v>
      </c>
      <c r="J44" s="11" t="s">
        <v>130</v>
      </c>
      <c r="K44" s="48" t="s">
        <v>130</v>
      </c>
      <c r="L44" s="92" t="str">
        <f t="shared" si="5"/>
        <v>Individu_53</v>
      </c>
      <c r="M44" s="95">
        <f t="shared" si="6"/>
        <v>49.722108145106091</v>
      </c>
      <c r="N44" s="96">
        <f>IF(M44&lt;='Age - Sexe'!$B$3,1,IF(M44&lt;='Age - Sexe'!$B$4,2,IF(M44&lt;='Age - Sexe'!$B$5,3,IF(M44&lt;=AB106,4,5))))</f>
        <v>5</v>
      </c>
      <c r="O44" s="95">
        <f t="shared" si="7"/>
        <v>25.66735112936345</v>
      </c>
      <c r="P44" s="96">
        <f>IF(O44&lt;='Ancienneté - Sexe'!$B$3,1,IF(M44&lt;='Ancienneté - Sexe'!$B$4,2,IF(M44&lt;='Ancienneté - Sexe'!$B$5,3,IF(M44&lt;='Ancienneté - Sexe'!B46,4,5))))</f>
        <v>5</v>
      </c>
      <c r="Q44" s="96">
        <f t="shared" si="8"/>
        <v>12</v>
      </c>
      <c r="R44" s="96">
        <f t="shared" si="4"/>
        <v>29245</v>
      </c>
      <c r="S44" s="96">
        <f>IF(R44&lt;=Rémunération!$D$4,1,IF(R44&lt;=Rémunération!$D$5,2,IF(R44&lt;=Rémunération!$D$6,3,IF(R44&lt;=Rémunération!$D$7,4,5))))</f>
        <v>1</v>
      </c>
      <c r="T44" s="13"/>
      <c r="U44" s="17"/>
      <c r="V44" s="17"/>
      <c r="W44" s="17"/>
      <c r="X44" s="18"/>
    </row>
    <row r="45" spans="1:38" x14ac:dyDescent="0.35">
      <c r="A45" s="1"/>
      <c r="B45" s="47" t="s">
        <v>66</v>
      </c>
      <c r="C45" s="7" t="s">
        <v>8</v>
      </c>
      <c r="D45" s="51">
        <v>33776</v>
      </c>
      <c r="E45" s="54">
        <v>42887</v>
      </c>
      <c r="F45" s="53">
        <v>1</v>
      </c>
      <c r="G45" s="35">
        <v>29109</v>
      </c>
      <c r="H45" s="7">
        <v>1</v>
      </c>
      <c r="I45" s="9">
        <v>1</v>
      </c>
      <c r="J45" s="11" t="s">
        <v>130</v>
      </c>
      <c r="K45" s="48" t="s">
        <v>130</v>
      </c>
      <c r="L45" s="92" t="str">
        <f t="shared" si="5"/>
        <v>Individu_54</v>
      </c>
      <c r="M45" s="95">
        <f t="shared" si="6"/>
        <v>29.527720739219713</v>
      </c>
      <c r="N45" s="96">
        <f>IF(M45&lt;='Age - Sexe'!$B$3,1,IF(M45&lt;='Age - Sexe'!$B$4,2,IF(M45&lt;='Age - Sexe'!$B$5,3,IF(M45&lt;=AB107,4,5))))</f>
        <v>2</v>
      </c>
      <c r="O45" s="95">
        <f t="shared" si="7"/>
        <v>4.5831622176591376</v>
      </c>
      <c r="P45" s="96">
        <f>IF(O45&lt;='Ancienneté - Sexe'!$B$3,1,IF(M45&lt;='Ancienneté - Sexe'!$B$4,2,IF(M45&lt;='Ancienneté - Sexe'!$B$5,3,IF(M45&lt;='Ancienneté - Sexe'!B47,4,5))))</f>
        <v>1</v>
      </c>
      <c r="Q45" s="96">
        <f t="shared" si="8"/>
        <v>12</v>
      </c>
      <c r="R45" s="96">
        <f t="shared" si="4"/>
        <v>29109</v>
      </c>
      <c r="S45" s="96">
        <f>IF(R45&lt;=Rémunération!$D$4,1,IF(R45&lt;=Rémunération!$D$5,2,IF(R45&lt;=Rémunération!$D$6,3,IF(R45&lt;=Rémunération!$D$7,4,5))))</f>
        <v>1</v>
      </c>
      <c r="T45" s="16"/>
    </row>
    <row r="46" spans="1:38" x14ac:dyDescent="0.35">
      <c r="A46" s="1"/>
      <c r="B46" s="47" t="s">
        <v>67</v>
      </c>
      <c r="C46" s="7" t="s">
        <v>9</v>
      </c>
      <c r="D46" s="51">
        <v>28683</v>
      </c>
      <c r="E46" s="54">
        <v>41061</v>
      </c>
      <c r="F46" s="53">
        <v>2</v>
      </c>
      <c r="G46" s="35">
        <v>33352</v>
      </c>
      <c r="H46" s="7">
        <v>0</v>
      </c>
      <c r="I46" s="9">
        <v>1</v>
      </c>
      <c r="J46" s="11" t="s">
        <v>130</v>
      </c>
      <c r="K46" s="48" t="s">
        <v>130</v>
      </c>
      <c r="L46" s="92" t="str">
        <f t="shared" si="5"/>
        <v>Individu_55</v>
      </c>
      <c r="M46" s="95">
        <f t="shared" si="6"/>
        <v>43.471594798083501</v>
      </c>
      <c r="N46" s="96">
        <f>IF(M46&lt;='Age - Sexe'!$B$3,1,IF(M46&lt;='Age - Sexe'!$B$4,2,IF(M46&lt;='Age - Sexe'!$B$5,3,IF(M46&lt;=AB108,4,5))))</f>
        <v>5</v>
      </c>
      <c r="O46" s="95">
        <f t="shared" si="7"/>
        <v>9.5824777549623548</v>
      </c>
      <c r="P46" s="96">
        <f>IF(O46&lt;='Ancienneté - Sexe'!$B$3,1,IF(M46&lt;='Ancienneté - Sexe'!$B$4,2,IF(M46&lt;='Ancienneté - Sexe'!$B$5,3,IF(M46&lt;='Ancienneté - Sexe'!B48,4,5))))</f>
        <v>5</v>
      </c>
      <c r="Q46" s="96">
        <f t="shared" si="8"/>
        <v>12</v>
      </c>
      <c r="R46" s="96">
        <f t="shared" si="4"/>
        <v>33352</v>
      </c>
      <c r="S46" s="96">
        <f>IF(R46&lt;=Rémunération!$D$4,1,IF(R46&lt;=Rémunération!$D$5,2,IF(R46&lt;=Rémunération!$D$6,3,IF(R46&lt;=Rémunération!$D$7,4,5))))</f>
        <v>2</v>
      </c>
    </row>
    <row r="47" spans="1:38" x14ac:dyDescent="0.35">
      <c r="A47" s="1"/>
      <c r="B47" s="47" t="s">
        <v>68</v>
      </c>
      <c r="C47" s="7" t="s">
        <v>9</v>
      </c>
      <c r="D47" s="51">
        <v>22267</v>
      </c>
      <c r="E47" s="54">
        <v>28915</v>
      </c>
      <c r="F47" s="53">
        <v>1</v>
      </c>
      <c r="G47" s="35">
        <v>29545</v>
      </c>
      <c r="H47" s="7">
        <v>110</v>
      </c>
      <c r="I47" s="9">
        <v>1</v>
      </c>
      <c r="J47" s="11" t="s">
        <v>130</v>
      </c>
      <c r="K47" s="48" t="s">
        <v>130</v>
      </c>
      <c r="L47" s="92" t="str">
        <f t="shared" si="5"/>
        <v>Individu_56</v>
      </c>
      <c r="M47" s="95">
        <f t="shared" si="6"/>
        <v>61.037645448323069</v>
      </c>
      <c r="N47" s="96">
        <f>IF(M47&lt;='Age - Sexe'!$B$3,1,IF(M47&lt;='Age - Sexe'!$B$4,2,IF(M47&lt;='Age - Sexe'!$B$5,3,IF(M47&lt;=AB109,4,5))))</f>
        <v>5</v>
      </c>
      <c r="O47" s="95">
        <f t="shared" si="7"/>
        <v>42.836413415468854</v>
      </c>
      <c r="P47" s="96">
        <f>IF(O47&lt;='Ancienneté - Sexe'!$B$3,1,IF(M47&lt;='Ancienneté - Sexe'!$B$4,2,IF(M47&lt;='Ancienneté - Sexe'!$B$5,3,IF(M47&lt;='Ancienneté - Sexe'!B49,4,5))))</f>
        <v>5</v>
      </c>
      <c r="Q47" s="96">
        <f t="shared" si="8"/>
        <v>12</v>
      </c>
      <c r="R47" s="96">
        <f t="shared" si="4"/>
        <v>29545</v>
      </c>
      <c r="S47" s="96">
        <f>IF(R47&lt;=Rémunération!$D$4,1,IF(R47&lt;=Rémunération!$D$5,2,IF(R47&lt;=Rémunération!$D$6,3,IF(R47&lt;=Rémunération!$D$7,4,5))))</f>
        <v>1</v>
      </c>
    </row>
    <row r="48" spans="1:38" x14ac:dyDescent="0.35">
      <c r="A48" s="1"/>
      <c r="B48" s="47" t="s">
        <v>69</v>
      </c>
      <c r="C48" s="7" t="s">
        <v>9</v>
      </c>
      <c r="D48" s="51">
        <v>34807</v>
      </c>
      <c r="E48" s="54">
        <v>42156</v>
      </c>
      <c r="F48" s="53">
        <v>2</v>
      </c>
      <c r="G48" s="35">
        <v>33734</v>
      </c>
      <c r="H48" s="7">
        <v>0</v>
      </c>
      <c r="I48" s="9">
        <v>1</v>
      </c>
      <c r="J48" s="11" t="s">
        <v>130</v>
      </c>
      <c r="K48" s="48" t="s">
        <v>130</v>
      </c>
      <c r="L48" s="92" t="str">
        <f t="shared" si="5"/>
        <v>Individu_57</v>
      </c>
      <c r="M48" s="95">
        <f t="shared" si="6"/>
        <v>26.704996577686515</v>
      </c>
      <c r="N48" s="96">
        <f>IF(M48&lt;='Age - Sexe'!$B$3,1,IF(M48&lt;='Age - Sexe'!$B$4,2,IF(M48&lt;='Age - Sexe'!$B$5,3,IF(M48&lt;=AB110,4,5))))</f>
        <v>2</v>
      </c>
      <c r="O48" s="95">
        <f t="shared" si="7"/>
        <v>6.584531143052704</v>
      </c>
      <c r="P48" s="96">
        <f>IF(O48&lt;='Ancienneté - Sexe'!$B$3,1,IF(M48&lt;='Ancienneté - Sexe'!$B$4,2,IF(M48&lt;='Ancienneté - Sexe'!$B$5,3,IF(M48&lt;='Ancienneté - Sexe'!B50,4,5))))</f>
        <v>3</v>
      </c>
      <c r="Q48" s="96">
        <f t="shared" si="8"/>
        <v>12</v>
      </c>
      <c r="R48" s="96">
        <f t="shared" si="4"/>
        <v>33734</v>
      </c>
      <c r="S48" s="96">
        <f>IF(R48&lt;=Rémunération!$D$4,1,IF(R48&lt;=Rémunération!$D$5,2,IF(R48&lt;=Rémunération!$D$6,3,IF(R48&lt;=Rémunération!$D$7,4,5))))</f>
        <v>2</v>
      </c>
    </row>
    <row r="49" spans="1:34" ht="13.9" customHeight="1" x14ac:dyDescent="0.35">
      <c r="A49" s="1"/>
      <c r="B49" s="47" t="s">
        <v>73</v>
      </c>
      <c r="C49" s="7" t="s">
        <v>8</v>
      </c>
      <c r="D49" s="51">
        <v>34165</v>
      </c>
      <c r="E49" s="54">
        <v>41974</v>
      </c>
      <c r="F49" s="53">
        <v>3</v>
      </c>
      <c r="G49" s="35">
        <v>53110</v>
      </c>
      <c r="H49" s="7">
        <v>0</v>
      </c>
      <c r="I49" s="9">
        <v>1</v>
      </c>
      <c r="J49" s="11" t="s">
        <v>130</v>
      </c>
      <c r="K49" s="48" t="s">
        <v>130</v>
      </c>
      <c r="L49" s="92" t="str">
        <f t="shared" si="5"/>
        <v>Individu_61</v>
      </c>
      <c r="M49" s="95">
        <f t="shared" si="6"/>
        <v>28.462696783025326</v>
      </c>
      <c r="N49" s="96">
        <f>IF(M49&lt;='Age - Sexe'!$B$3,1,IF(M49&lt;='Age - Sexe'!$B$4,2,IF(M49&lt;='Age - Sexe'!$B$5,3,IF(M49&lt;=AB111,4,5))))</f>
        <v>2</v>
      </c>
      <c r="O49" s="95">
        <f t="shared" si="7"/>
        <v>7.0828199863107457</v>
      </c>
      <c r="P49" s="96">
        <f>IF(O49&lt;='Ancienneté - Sexe'!$B$3,1,IF(M49&lt;='Ancienneté - Sexe'!$B$4,2,IF(M49&lt;='Ancienneté - Sexe'!$B$5,3,IF(M49&lt;='Ancienneté - Sexe'!B51,4,5))))</f>
        <v>3</v>
      </c>
      <c r="Q49" s="96">
        <f t="shared" si="8"/>
        <v>12</v>
      </c>
      <c r="R49" s="96">
        <f t="shared" si="4"/>
        <v>53110</v>
      </c>
      <c r="S49" s="96">
        <f>IF(R49&lt;=Rémunération!$D$4,1,IF(R49&lt;=Rémunération!$D$5,2,IF(R49&lt;=Rémunération!$D$6,3,IF(R49&lt;=Rémunération!$D$7,4,5))))</f>
        <v>3</v>
      </c>
    </row>
    <row r="50" spans="1:34" ht="12.75" customHeight="1" x14ac:dyDescent="0.35">
      <c r="A50" s="1"/>
      <c r="B50" s="47" t="s">
        <v>74</v>
      </c>
      <c r="C50" s="7" t="s">
        <v>9</v>
      </c>
      <c r="D50" s="51">
        <v>35990</v>
      </c>
      <c r="E50" s="54">
        <v>43282</v>
      </c>
      <c r="F50" s="53">
        <v>3</v>
      </c>
      <c r="G50" s="35">
        <v>59173</v>
      </c>
      <c r="H50" s="7">
        <v>1</v>
      </c>
      <c r="I50" s="9">
        <v>1</v>
      </c>
      <c r="J50" s="11" t="s">
        <v>130</v>
      </c>
      <c r="K50" s="48" t="s">
        <v>130</v>
      </c>
      <c r="L50" s="92" t="str">
        <f t="shared" si="5"/>
        <v>Individu_62</v>
      </c>
      <c r="M50" s="95">
        <f t="shared" si="6"/>
        <v>23.466119096509239</v>
      </c>
      <c r="N50" s="96">
        <f>IF(M50&lt;='Age - Sexe'!$B$3,1,IF(M50&lt;='Age - Sexe'!$B$4,2,IF(M50&lt;='Age - Sexe'!$B$5,3,IF(M50&lt;=AB112,4,5))))</f>
        <v>1</v>
      </c>
      <c r="O50" s="95">
        <f t="shared" si="7"/>
        <v>3.5017111567419574</v>
      </c>
      <c r="P50" s="96">
        <f>IF(O50&lt;='Ancienneté - Sexe'!$B$3,1,IF(M50&lt;='Ancienneté - Sexe'!$B$4,2,IF(M50&lt;='Ancienneté - Sexe'!$B$5,3,IF(M50&lt;='Ancienneté - Sexe'!B52,4,5))))</f>
        <v>1</v>
      </c>
      <c r="Q50" s="96">
        <f t="shared" si="8"/>
        <v>12</v>
      </c>
      <c r="R50" s="96">
        <f t="shared" si="4"/>
        <v>59173</v>
      </c>
      <c r="S50" s="96">
        <f>IF(R50&lt;=Rémunération!$D$4,1,IF(R50&lt;=Rémunération!$D$5,2,IF(R50&lt;=Rémunération!$D$6,3,IF(R50&lt;=Rémunération!$D$7,4,5))))</f>
        <v>3</v>
      </c>
    </row>
    <row r="51" spans="1:34" ht="12.75" customHeight="1" x14ac:dyDescent="0.35">
      <c r="A51" s="1"/>
      <c r="B51" s="47" t="s">
        <v>75</v>
      </c>
      <c r="C51" s="7" t="s">
        <v>8</v>
      </c>
      <c r="D51" s="51">
        <v>30364</v>
      </c>
      <c r="E51" s="54">
        <v>39052</v>
      </c>
      <c r="F51" s="53">
        <v>2</v>
      </c>
      <c r="G51" s="35">
        <v>27529</v>
      </c>
      <c r="H51" s="7">
        <v>0</v>
      </c>
      <c r="I51" s="9">
        <v>0.8</v>
      </c>
      <c r="J51" s="11" t="s">
        <v>130</v>
      </c>
      <c r="K51" s="48" t="s">
        <v>130</v>
      </c>
      <c r="L51" s="92" t="str">
        <f t="shared" si="5"/>
        <v>Individu_63</v>
      </c>
      <c r="M51" s="95">
        <f t="shared" si="6"/>
        <v>38.869267624914443</v>
      </c>
      <c r="N51" s="96">
        <f>IF(M51&lt;='Age - Sexe'!$B$3,1,IF(M51&lt;='Age - Sexe'!$B$4,2,IF(M51&lt;='Age - Sexe'!$B$5,3,IF(M51&lt;=AB113,4,5))))</f>
        <v>3</v>
      </c>
      <c r="O51" s="95">
        <f t="shared" si="7"/>
        <v>15.082819986310746</v>
      </c>
      <c r="P51" s="96">
        <f>IF(O51&lt;='Ancienneté - Sexe'!$B$3,1,IF(M51&lt;='Ancienneté - Sexe'!$B$4,2,IF(M51&lt;='Ancienneté - Sexe'!$B$5,3,IF(M51&lt;='Ancienneté - Sexe'!B53,4,5))))</f>
        <v>5</v>
      </c>
      <c r="Q51" s="96">
        <f t="shared" si="8"/>
        <v>12</v>
      </c>
      <c r="R51" s="96">
        <f t="shared" si="4"/>
        <v>34411.25</v>
      </c>
      <c r="S51" s="96">
        <f>IF(R51&lt;=Rémunération!$D$4,1,IF(R51&lt;=Rémunération!$D$5,2,IF(R51&lt;=Rémunération!$D$6,3,IF(R51&lt;=Rémunération!$D$7,4,5))))</f>
        <v>2</v>
      </c>
    </row>
    <row r="52" spans="1:34" ht="12.75" customHeight="1" x14ac:dyDescent="0.35">
      <c r="A52" s="1"/>
      <c r="B52" s="47" t="s">
        <v>76</v>
      </c>
      <c r="C52" s="7" t="s">
        <v>8</v>
      </c>
      <c r="D52" s="51">
        <v>26990</v>
      </c>
      <c r="E52" s="54">
        <v>37257</v>
      </c>
      <c r="F52" s="53">
        <v>3</v>
      </c>
      <c r="G52" s="35">
        <v>35644</v>
      </c>
      <c r="H52" s="7">
        <v>12</v>
      </c>
      <c r="I52" s="9">
        <v>1</v>
      </c>
      <c r="J52" s="11" t="s">
        <v>130</v>
      </c>
      <c r="K52" s="48" t="s">
        <v>130</v>
      </c>
      <c r="L52" s="92" t="str">
        <f t="shared" si="5"/>
        <v>Individu_64</v>
      </c>
      <c r="M52" s="95">
        <f t="shared" si="6"/>
        <v>48.106776180698155</v>
      </c>
      <c r="N52" s="96">
        <f>IF(M52&lt;='Age - Sexe'!$B$3,1,IF(M52&lt;='Age - Sexe'!$B$4,2,IF(M52&lt;='Age - Sexe'!$B$5,3,IF(M52&lt;=AB114,4,5))))</f>
        <v>5</v>
      </c>
      <c r="O52" s="95">
        <f t="shared" si="7"/>
        <v>19.997262149212869</v>
      </c>
      <c r="P52" s="96">
        <f>IF(O52&lt;='Ancienneté - Sexe'!$B$3,1,IF(M52&lt;='Ancienneté - Sexe'!$B$4,2,IF(M52&lt;='Ancienneté - Sexe'!$B$5,3,IF(M52&lt;='Ancienneté - Sexe'!B54,4,5))))</f>
        <v>5</v>
      </c>
      <c r="Q52" s="96">
        <f t="shared" si="8"/>
        <v>12</v>
      </c>
      <c r="R52" s="96">
        <f t="shared" si="4"/>
        <v>35644</v>
      </c>
      <c r="S52" s="96">
        <f>IF(R52&lt;=Rémunération!$D$4,1,IF(R52&lt;=Rémunération!$D$5,2,IF(R52&lt;=Rémunération!$D$6,3,IF(R52&lt;=Rémunération!$D$7,4,5))))</f>
        <v>2</v>
      </c>
    </row>
    <row r="53" spans="1:34" ht="12.75" customHeight="1" x14ac:dyDescent="0.35">
      <c r="A53" s="1"/>
      <c r="B53" s="47" t="s">
        <v>77</v>
      </c>
      <c r="C53" s="7" t="s">
        <v>9</v>
      </c>
      <c r="D53" s="51">
        <v>33567</v>
      </c>
      <c r="E53" s="54">
        <v>43466</v>
      </c>
      <c r="F53" s="53">
        <v>1</v>
      </c>
      <c r="G53" s="35">
        <v>28605</v>
      </c>
      <c r="H53" s="7">
        <v>3</v>
      </c>
      <c r="I53" s="9">
        <v>1</v>
      </c>
      <c r="J53" s="11" t="s">
        <v>130</v>
      </c>
      <c r="K53" s="48" t="s">
        <v>130</v>
      </c>
      <c r="L53" s="92" t="str">
        <f t="shared" si="5"/>
        <v>Individu_65</v>
      </c>
      <c r="M53" s="95">
        <f t="shared" si="6"/>
        <v>30.099931553730322</v>
      </c>
      <c r="N53" s="96">
        <f>IF(M53&lt;='Age - Sexe'!$B$3,1,IF(M53&lt;='Age - Sexe'!$B$4,2,IF(M53&lt;='Age - Sexe'!$B$5,3,IF(M53&lt;=AB115,4,5))))</f>
        <v>2</v>
      </c>
      <c r="O53" s="95">
        <f t="shared" si="7"/>
        <v>2.9979466119096507</v>
      </c>
      <c r="P53" s="96">
        <f>IF(O53&lt;='Ancienneté - Sexe'!$B$3,1,IF(M53&lt;='Ancienneté - Sexe'!$B$4,2,IF(M53&lt;='Ancienneté - Sexe'!$B$5,3,IF(M53&lt;='Ancienneté - Sexe'!B55,4,5))))</f>
        <v>1</v>
      </c>
      <c r="Q53" s="96">
        <f t="shared" si="8"/>
        <v>12</v>
      </c>
      <c r="R53" s="96">
        <f t="shared" si="4"/>
        <v>28605</v>
      </c>
      <c r="S53" s="96">
        <f>IF(R53&lt;=Rémunération!$D$4,1,IF(R53&lt;=Rémunération!$D$5,2,IF(R53&lt;=Rémunération!$D$6,3,IF(R53&lt;=Rémunération!$D$7,4,5))))</f>
        <v>1</v>
      </c>
    </row>
    <row r="54" spans="1:34" ht="12.75" customHeight="1" x14ac:dyDescent="0.35">
      <c r="A54" s="1"/>
      <c r="B54" s="47" t="s">
        <v>78</v>
      </c>
      <c r="C54" s="7" t="s">
        <v>9</v>
      </c>
      <c r="D54" s="51">
        <v>23954</v>
      </c>
      <c r="E54" s="54">
        <v>32690</v>
      </c>
      <c r="F54" s="53">
        <v>3</v>
      </c>
      <c r="G54" s="35">
        <v>36555</v>
      </c>
      <c r="H54" s="7">
        <v>0</v>
      </c>
      <c r="I54" s="9">
        <v>1</v>
      </c>
      <c r="J54" s="11" t="s">
        <v>130</v>
      </c>
      <c r="K54" s="48" t="s">
        <v>130</v>
      </c>
      <c r="L54" s="92" t="str">
        <f t="shared" si="5"/>
        <v>Individu_66</v>
      </c>
      <c r="M54" s="95">
        <f t="shared" si="6"/>
        <v>56.418891170431209</v>
      </c>
      <c r="N54" s="96">
        <f>IF(M54&lt;='Age - Sexe'!$B$3,1,IF(M54&lt;='Age - Sexe'!$B$4,2,IF(M54&lt;='Age - Sexe'!$B$5,3,IF(M54&lt;=AB116,4,5))))</f>
        <v>5</v>
      </c>
      <c r="O54" s="95">
        <f t="shared" si="7"/>
        <v>32.501026694045173</v>
      </c>
      <c r="P54" s="96">
        <f>IF(O54&lt;='Ancienneté - Sexe'!$B$3,1,IF(M54&lt;='Ancienneté - Sexe'!$B$4,2,IF(M54&lt;='Ancienneté - Sexe'!$B$5,3,IF(M54&lt;='Ancienneté - Sexe'!B56,4,5))))</f>
        <v>5</v>
      </c>
      <c r="Q54" s="96">
        <f t="shared" si="8"/>
        <v>12</v>
      </c>
      <c r="R54" s="96">
        <f t="shared" si="4"/>
        <v>36555</v>
      </c>
      <c r="S54" s="96">
        <f>IF(R54&lt;=Rémunération!$D$4,1,IF(R54&lt;=Rémunération!$D$5,2,IF(R54&lt;=Rémunération!$D$6,3,IF(R54&lt;=Rémunération!$D$7,4,5))))</f>
        <v>2</v>
      </c>
    </row>
    <row r="55" spans="1:34" ht="12.75" customHeight="1" x14ac:dyDescent="0.35">
      <c r="A55" s="1"/>
      <c r="B55" s="47" t="s">
        <v>79</v>
      </c>
      <c r="C55" s="7" t="s">
        <v>8</v>
      </c>
      <c r="D55" s="51">
        <v>29830</v>
      </c>
      <c r="E55" s="54">
        <v>43313</v>
      </c>
      <c r="F55" s="53">
        <v>2</v>
      </c>
      <c r="G55" s="35">
        <v>19864</v>
      </c>
      <c r="H55" s="7">
        <v>26</v>
      </c>
      <c r="I55" s="9">
        <v>0.6</v>
      </c>
      <c r="J55" s="11" t="s">
        <v>130</v>
      </c>
      <c r="K55" s="48" t="s">
        <v>130</v>
      </c>
      <c r="L55" s="92" t="str">
        <f t="shared" si="5"/>
        <v>Individu_67</v>
      </c>
      <c r="M55" s="95">
        <f t="shared" si="6"/>
        <v>40.331279945242983</v>
      </c>
      <c r="N55" s="96">
        <f>IF(M55&lt;='Age - Sexe'!$B$3,1,IF(M55&lt;='Age - Sexe'!$B$4,2,IF(M55&lt;='Age - Sexe'!$B$5,3,IF(M55&lt;=AB117,4,5))))</f>
        <v>3</v>
      </c>
      <c r="O55" s="95">
        <f t="shared" si="7"/>
        <v>3.4168377823408624</v>
      </c>
      <c r="P55" s="96">
        <f>IF(O55&lt;='Ancienneté - Sexe'!$B$3,1,IF(M55&lt;='Ancienneté - Sexe'!$B$4,2,IF(M55&lt;='Ancienneté - Sexe'!$B$5,3,IF(M55&lt;='Ancienneté - Sexe'!B57,4,5))))</f>
        <v>1</v>
      </c>
      <c r="Q55" s="96">
        <f t="shared" si="8"/>
        <v>12</v>
      </c>
      <c r="R55" s="96">
        <f t="shared" si="4"/>
        <v>33106.666666666672</v>
      </c>
      <c r="S55" s="96">
        <f>IF(R55&lt;=Rémunération!$D$4,1,IF(R55&lt;=Rémunération!$D$5,2,IF(R55&lt;=Rémunération!$D$6,3,IF(R55&lt;=Rémunération!$D$7,4,5))))</f>
        <v>2</v>
      </c>
      <c r="AH55" s="49"/>
    </row>
    <row r="56" spans="1:34" ht="12.75" customHeight="1" x14ac:dyDescent="0.35">
      <c r="A56" s="1"/>
      <c r="B56" s="47" t="s">
        <v>80</v>
      </c>
      <c r="C56" s="7" t="s">
        <v>9</v>
      </c>
      <c r="D56" s="51">
        <v>29062</v>
      </c>
      <c r="E56" s="54">
        <v>40360</v>
      </c>
      <c r="F56" s="53">
        <v>1</v>
      </c>
      <c r="G56" s="35">
        <v>27914</v>
      </c>
      <c r="H56" s="7">
        <v>0</v>
      </c>
      <c r="I56" s="9">
        <v>1</v>
      </c>
      <c r="J56" s="11" t="s">
        <v>130</v>
      </c>
      <c r="K56" s="48" t="s">
        <v>130</v>
      </c>
      <c r="L56" s="92" t="str">
        <f t="shared" si="5"/>
        <v>Individu_68</v>
      </c>
      <c r="M56" s="95">
        <f t="shared" si="6"/>
        <v>42.433949349760439</v>
      </c>
      <c r="N56" s="96">
        <f>IF(M56&lt;='Age - Sexe'!$B$3,1,IF(M56&lt;='Age - Sexe'!$B$4,2,IF(M56&lt;='Age - Sexe'!$B$5,3,IF(M56&lt;=AB118,4,5))))</f>
        <v>5</v>
      </c>
      <c r="O56" s="95">
        <f t="shared" si="7"/>
        <v>11.501711156741958</v>
      </c>
      <c r="P56" s="96">
        <f>IF(O56&lt;='Ancienneté - Sexe'!$B$3,1,IF(M56&lt;='Ancienneté - Sexe'!$B$4,2,IF(M56&lt;='Ancienneté - Sexe'!$B$5,3,IF(M56&lt;='Ancienneté - Sexe'!B58,4,5))))</f>
        <v>5</v>
      </c>
      <c r="Q56" s="96">
        <f t="shared" si="8"/>
        <v>12</v>
      </c>
      <c r="R56" s="96">
        <f t="shared" si="4"/>
        <v>27914</v>
      </c>
      <c r="S56" s="96">
        <f>IF(R56&lt;=Rémunération!$D$4,1,IF(R56&lt;=Rémunération!$D$5,2,IF(R56&lt;=Rémunération!$D$6,3,IF(R56&lt;=Rémunération!$D$7,4,5))))</f>
        <v>1</v>
      </c>
    </row>
    <row r="57" spans="1:34" ht="12.75" customHeight="1" x14ac:dyDescent="0.35">
      <c r="A57" s="1"/>
      <c r="B57" s="47" t="s">
        <v>81</v>
      </c>
      <c r="C57" s="7" t="s">
        <v>8</v>
      </c>
      <c r="D57" s="51">
        <v>24637</v>
      </c>
      <c r="E57" s="54">
        <v>34669</v>
      </c>
      <c r="F57" s="53">
        <v>1</v>
      </c>
      <c r="G57" s="35">
        <v>29146</v>
      </c>
      <c r="H57" s="7">
        <v>3</v>
      </c>
      <c r="I57" s="9">
        <v>0.8</v>
      </c>
      <c r="J57" s="11" t="s">
        <v>130</v>
      </c>
      <c r="K57" s="48" t="s">
        <v>130</v>
      </c>
      <c r="L57" s="92" t="str">
        <f t="shared" si="5"/>
        <v>Individu_69</v>
      </c>
      <c r="M57" s="95">
        <f t="shared" si="6"/>
        <v>54.548939082819984</v>
      </c>
      <c r="N57" s="96">
        <f>IF(M57&lt;='Age - Sexe'!$B$3,1,IF(M57&lt;='Age - Sexe'!$B$4,2,IF(M57&lt;='Age - Sexe'!$B$5,3,IF(M57&lt;=AB119,4,5))))</f>
        <v>5</v>
      </c>
      <c r="O57" s="95">
        <f t="shared" si="7"/>
        <v>27.082819986310746</v>
      </c>
      <c r="P57" s="96">
        <f>IF(O57&lt;='Ancienneté - Sexe'!$B$3,1,IF(M57&lt;='Ancienneté - Sexe'!$B$4,2,IF(M57&lt;='Ancienneté - Sexe'!$B$5,3,IF(M57&lt;='Ancienneté - Sexe'!B59,4,5))))</f>
        <v>5</v>
      </c>
      <c r="Q57" s="96">
        <f t="shared" si="8"/>
        <v>12</v>
      </c>
      <c r="R57" s="96">
        <f t="shared" si="4"/>
        <v>36432.5</v>
      </c>
      <c r="S57" s="96">
        <f>IF(R57&lt;=Rémunération!$D$4,1,IF(R57&lt;=Rémunération!$D$5,2,IF(R57&lt;=Rémunération!$D$6,3,IF(R57&lt;=Rémunération!$D$7,4,5))))</f>
        <v>2</v>
      </c>
      <c r="AG57" s="49"/>
    </row>
    <row r="58" spans="1:34" ht="12.75" customHeight="1" x14ac:dyDescent="0.35">
      <c r="A58" s="1"/>
      <c r="B58" s="47" t="s">
        <v>82</v>
      </c>
      <c r="C58" s="7" t="s">
        <v>8</v>
      </c>
      <c r="D58" s="51">
        <v>35300</v>
      </c>
      <c r="E58" s="54">
        <v>44440</v>
      </c>
      <c r="F58" s="53">
        <v>3</v>
      </c>
      <c r="G58" s="35">
        <v>55420</v>
      </c>
      <c r="H58" s="7">
        <v>0</v>
      </c>
      <c r="I58" s="9">
        <v>1</v>
      </c>
      <c r="J58" s="11" t="s">
        <v>130</v>
      </c>
      <c r="K58" s="48" t="s">
        <v>130</v>
      </c>
      <c r="L58" s="92" t="str">
        <f t="shared" si="5"/>
        <v>Individu_70</v>
      </c>
      <c r="M58" s="95">
        <f t="shared" si="6"/>
        <v>25.355236139630389</v>
      </c>
      <c r="N58" s="96">
        <f>IF(M58&lt;='Age - Sexe'!$B$3,1,IF(M58&lt;='Age - Sexe'!$B$4,2,IF(M58&lt;='Age - Sexe'!$B$5,3,IF(M58&lt;=AB120,4,5))))</f>
        <v>1</v>
      </c>
      <c r="O58" s="95">
        <f t="shared" si="7"/>
        <v>0.33127994524298426</v>
      </c>
      <c r="P58" s="96">
        <f>IF(O58&lt;='Ancienneté - Sexe'!$B$3,1,IF(M58&lt;='Ancienneté - Sexe'!$B$4,2,IF(M58&lt;='Ancienneté - Sexe'!$B$5,3,IF(M58&lt;='Ancienneté - Sexe'!B60,4,5))))</f>
        <v>1</v>
      </c>
      <c r="Q58" s="96">
        <f t="shared" si="8"/>
        <v>4</v>
      </c>
      <c r="R58" s="96">
        <f t="shared" si="4"/>
        <v>166260</v>
      </c>
      <c r="S58" s="96">
        <f>IF(R58&lt;=Rémunération!$D$4,1,IF(R58&lt;=Rémunération!$D$5,2,IF(R58&lt;=Rémunération!$D$6,3,IF(R58&lt;=Rémunération!$D$7,4,5))))</f>
        <v>5</v>
      </c>
    </row>
    <row r="59" spans="1:34" ht="12.75" customHeight="1" x14ac:dyDescent="0.35">
      <c r="A59" s="1"/>
      <c r="B59" s="47" t="s">
        <v>83</v>
      </c>
      <c r="C59" s="7" t="s">
        <v>8</v>
      </c>
      <c r="D59" s="51">
        <v>24118</v>
      </c>
      <c r="E59" s="54">
        <v>33178</v>
      </c>
      <c r="F59" s="53">
        <v>1</v>
      </c>
      <c r="G59" s="35">
        <v>33306</v>
      </c>
      <c r="H59" s="7">
        <v>1</v>
      </c>
      <c r="I59" s="9">
        <v>1</v>
      </c>
      <c r="J59" s="11" t="s">
        <v>130</v>
      </c>
      <c r="K59" s="48" t="s">
        <v>130</v>
      </c>
      <c r="L59" s="92" t="str">
        <f t="shared" si="5"/>
        <v>Individu_71</v>
      </c>
      <c r="M59" s="95">
        <f t="shared" si="6"/>
        <v>55.969883641341546</v>
      </c>
      <c r="N59" s="96">
        <f>IF(M59&lt;='Age - Sexe'!$B$3,1,IF(M59&lt;='Age - Sexe'!$B$4,2,IF(M59&lt;='Age - Sexe'!$B$5,3,IF(M59&lt;=AB121,4,5))))</f>
        <v>5</v>
      </c>
      <c r="O59" s="95">
        <f t="shared" si="7"/>
        <v>31.16495550992471</v>
      </c>
      <c r="P59" s="96">
        <f>IF(O59&lt;='Ancienneté - Sexe'!$B$3,1,IF(M59&lt;='Ancienneté - Sexe'!$B$4,2,IF(M59&lt;='Ancienneté - Sexe'!$B$5,3,IF(M59&lt;='Ancienneté - Sexe'!B61,4,5))))</f>
        <v>5</v>
      </c>
      <c r="Q59" s="96">
        <f t="shared" si="8"/>
        <v>12</v>
      </c>
      <c r="R59" s="96">
        <f t="shared" si="4"/>
        <v>33306</v>
      </c>
      <c r="S59" s="96">
        <f>IF(R59&lt;=Rémunération!$D$4,1,IF(R59&lt;=Rémunération!$D$5,2,IF(R59&lt;=Rémunération!$D$6,3,IF(R59&lt;=Rémunération!$D$7,4,5))))</f>
        <v>2</v>
      </c>
    </row>
    <row r="60" spans="1:34" ht="12.75" customHeight="1" x14ac:dyDescent="0.35">
      <c r="A60" s="1"/>
      <c r="B60" s="47" t="s">
        <v>84</v>
      </c>
      <c r="C60" s="7" t="s">
        <v>9</v>
      </c>
      <c r="D60" s="51">
        <v>31558</v>
      </c>
      <c r="E60" s="54">
        <v>41579</v>
      </c>
      <c r="F60" s="53">
        <v>3</v>
      </c>
      <c r="G60" s="35">
        <v>52441</v>
      </c>
      <c r="H60" s="7">
        <v>0</v>
      </c>
      <c r="I60" s="9">
        <v>1</v>
      </c>
      <c r="J60" s="11" t="s">
        <v>130</v>
      </c>
      <c r="K60" s="48" t="s">
        <v>130</v>
      </c>
      <c r="L60" s="92" t="str">
        <f t="shared" si="5"/>
        <v>Individu_72</v>
      </c>
      <c r="M60" s="95">
        <f t="shared" si="6"/>
        <v>35.600273785078713</v>
      </c>
      <c r="N60" s="96">
        <f>IF(M60&lt;='Age - Sexe'!$B$3,1,IF(M60&lt;='Age - Sexe'!$B$4,2,IF(M60&lt;='Age - Sexe'!$B$5,3,IF(M60&lt;=AB122,4,5))))</f>
        <v>2</v>
      </c>
      <c r="O60" s="95">
        <f t="shared" si="7"/>
        <v>8.1642710472279258</v>
      </c>
      <c r="P60" s="96">
        <f>IF(O60&lt;='Ancienneté - Sexe'!$B$3,1,IF(M60&lt;='Ancienneté - Sexe'!$B$4,2,IF(M60&lt;='Ancienneté - Sexe'!$B$5,3,IF(M60&lt;='Ancienneté - Sexe'!B62,4,5))))</f>
        <v>5</v>
      </c>
      <c r="Q60" s="96">
        <f t="shared" si="8"/>
        <v>12</v>
      </c>
      <c r="R60" s="96">
        <f t="shared" si="4"/>
        <v>52441</v>
      </c>
      <c r="S60" s="96">
        <f>IF(R60&lt;=Rémunération!$D$4,1,IF(R60&lt;=Rémunération!$D$5,2,IF(R60&lt;=Rémunération!$D$6,3,IF(R60&lt;=Rémunération!$D$7,4,5))))</f>
        <v>3</v>
      </c>
    </row>
    <row r="61" spans="1:34" ht="12.75" customHeight="1" x14ac:dyDescent="0.35">
      <c r="A61" s="1"/>
      <c r="B61" s="47" t="s">
        <v>85</v>
      </c>
      <c r="C61" s="7" t="s">
        <v>8</v>
      </c>
      <c r="D61" s="51">
        <v>32161</v>
      </c>
      <c r="E61" s="54">
        <v>41699</v>
      </c>
      <c r="F61" s="53">
        <v>4</v>
      </c>
      <c r="G61" s="35">
        <v>153446</v>
      </c>
      <c r="H61" s="7">
        <v>0</v>
      </c>
      <c r="I61" s="9">
        <v>1</v>
      </c>
      <c r="J61" s="11" t="s">
        <v>130</v>
      </c>
      <c r="K61" s="48" t="s">
        <v>130</v>
      </c>
      <c r="L61" s="92" t="str">
        <f t="shared" si="5"/>
        <v>Individu_73</v>
      </c>
      <c r="M61" s="95">
        <f t="shared" si="6"/>
        <v>33.949349760438054</v>
      </c>
      <c r="N61" s="96">
        <f>IF(M61&lt;='Age - Sexe'!$B$3,1,IF(M61&lt;='Age - Sexe'!$B$4,2,IF(M61&lt;='Age - Sexe'!$B$5,3,IF(M61&lt;=AB123,4,5))))</f>
        <v>2</v>
      </c>
      <c r="O61" s="95">
        <f t="shared" si="7"/>
        <v>7.8357289527720742</v>
      </c>
      <c r="P61" s="96">
        <f>IF(O61&lt;='Ancienneté - Sexe'!$B$3,1,IF(M61&lt;='Ancienneté - Sexe'!$B$4,2,IF(M61&lt;='Ancienneté - Sexe'!$B$5,3,IF(M61&lt;='Ancienneté - Sexe'!B63,4,5))))</f>
        <v>5</v>
      </c>
      <c r="Q61" s="96">
        <f t="shared" si="8"/>
        <v>12</v>
      </c>
      <c r="R61" s="96">
        <f t="shared" si="4"/>
        <v>153446</v>
      </c>
      <c r="S61" s="96">
        <f>IF(R61&lt;=Rémunération!$D$4,1,IF(R61&lt;=Rémunération!$D$5,2,IF(R61&lt;=Rémunération!$D$6,3,IF(R61&lt;=Rémunération!$D$7,4,5))))</f>
        <v>5</v>
      </c>
    </row>
    <row r="62" spans="1:34" ht="12.75" customHeight="1" x14ac:dyDescent="0.35">
      <c r="A62" s="1"/>
      <c r="B62" s="47" t="s">
        <v>86</v>
      </c>
      <c r="C62" s="7" t="s">
        <v>9</v>
      </c>
      <c r="D62" s="51">
        <v>24080</v>
      </c>
      <c r="E62" s="54">
        <v>30348</v>
      </c>
      <c r="F62" s="53">
        <v>1</v>
      </c>
      <c r="G62" s="35">
        <v>32704</v>
      </c>
      <c r="H62" s="7">
        <v>0</v>
      </c>
      <c r="I62" s="9">
        <v>1</v>
      </c>
      <c r="J62" s="11" t="s">
        <v>130</v>
      </c>
      <c r="K62" s="48" t="s">
        <v>130</v>
      </c>
      <c r="L62" s="92" t="str">
        <f t="shared" si="5"/>
        <v>Individu_74</v>
      </c>
      <c r="M62" s="95">
        <f t="shared" si="6"/>
        <v>56.073921971252567</v>
      </c>
      <c r="N62" s="96">
        <f>IF(M62&lt;='Age - Sexe'!$B$3,1,IF(M62&lt;='Age - Sexe'!$B$4,2,IF(M62&lt;='Age - Sexe'!$B$5,3,IF(M62&lt;=AB124,4,5))))</f>
        <v>5</v>
      </c>
      <c r="O62" s="95">
        <f t="shared" si="7"/>
        <v>38.913073237508556</v>
      </c>
      <c r="P62" s="96">
        <f>IF(O62&lt;='Ancienneté - Sexe'!$B$3,1,IF(M62&lt;='Ancienneté - Sexe'!$B$4,2,IF(M62&lt;='Ancienneté - Sexe'!$B$5,3,IF(M62&lt;='Ancienneté - Sexe'!B64,4,5))))</f>
        <v>5</v>
      </c>
      <c r="Q62" s="96">
        <f t="shared" si="8"/>
        <v>12</v>
      </c>
      <c r="R62" s="96">
        <f t="shared" si="4"/>
        <v>32704</v>
      </c>
      <c r="S62" s="96">
        <f>IF(R62&lt;=Rémunération!$D$4,1,IF(R62&lt;=Rémunération!$D$5,2,IF(R62&lt;=Rémunération!$D$6,3,IF(R62&lt;=Rémunération!$D$7,4,5))))</f>
        <v>2</v>
      </c>
    </row>
    <row r="63" spans="1:34" ht="12.75" customHeight="1" x14ac:dyDescent="0.35">
      <c r="A63" s="1"/>
      <c r="B63" s="47" t="s">
        <v>87</v>
      </c>
      <c r="C63" s="7" t="s">
        <v>9</v>
      </c>
      <c r="D63" s="51">
        <v>28834</v>
      </c>
      <c r="E63" s="54">
        <v>37561</v>
      </c>
      <c r="F63" s="53">
        <v>2</v>
      </c>
      <c r="G63" s="35">
        <v>28774</v>
      </c>
      <c r="H63" s="7">
        <v>0</v>
      </c>
      <c r="I63" s="9">
        <v>1</v>
      </c>
      <c r="J63" s="11" t="s">
        <v>130</v>
      </c>
      <c r="K63" s="48" t="s">
        <v>130</v>
      </c>
      <c r="L63" s="92" t="str">
        <f t="shared" si="5"/>
        <v>Individu_75</v>
      </c>
      <c r="M63" s="95">
        <f t="shared" si="6"/>
        <v>43.058179329226554</v>
      </c>
      <c r="N63" s="96">
        <f>IF(M63&lt;='Age - Sexe'!$B$3,1,IF(M63&lt;='Age - Sexe'!$B$4,2,IF(M63&lt;='Age - Sexe'!$B$5,3,IF(M63&lt;=AB125,4,5))))</f>
        <v>5</v>
      </c>
      <c r="O63" s="95">
        <f t="shared" si="7"/>
        <v>19.16495550992471</v>
      </c>
      <c r="P63" s="96">
        <f>IF(O63&lt;='Ancienneté - Sexe'!$B$3,1,IF(M63&lt;='Ancienneté - Sexe'!$B$4,2,IF(M63&lt;='Ancienneté - Sexe'!$B$5,3,IF(M63&lt;='Ancienneté - Sexe'!B65,4,5))))</f>
        <v>5</v>
      </c>
      <c r="Q63" s="96">
        <f t="shared" si="8"/>
        <v>12</v>
      </c>
      <c r="R63" s="96">
        <f t="shared" si="4"/>
        <v>28774</v>
      </c>
      <c r="S63" s="96">
        <f>IF(R63&lt;=Rémunération!$D$4,1,IF(R63&lt;=Rémunération!$D$5,2,IF(R63&lt;=Rémunération!$D$6,3,IF(R63&lt;=Rémunération!$D$7,4,5))))</f>
        <v>1</v>
      </c>
    </row>
    <row r="64" spans="1:34" x14ac:dyDescent="0.35">
      <c r="A64" s="1"/>
      <c r="B64" s="47" t="s">
        <v>88</v>
      </c>
      <c r="C64" s="7" t="s">
        <v>9</v>
      </c>
      <c r="D64" s="51">
        <v>31423</v>
      </c>
      <c r="E64" s="54">
        <v>38626</v>
      </c>
      <c r="F64" s="53">
        <v>2</v>
      </c>
      <c r="G64" s="35">
        <v>23432</v>
      </c>
      <c r="H64" s="7">
        <v>4</v>
      </c>
      <c r="I64" s="9">
        <v>0.7</v>
      </c>
      <c r="J64" s="11" t="s">
        <v>130</v>
      </c>
      <c r="K64" s="48" t="s">
        <v>130</v>
      </c>
      <c r="L64" s="92" t="str">
        <f t="shared" si="5"/>
        <v>Individu_76</v>
      </c>
      <c r="M64" s="95">
        <f t="shared" si="6"/>
        <v>35.969883641341546</v>
      </c>
      <c r="N64" s="96">
        <f>IF(M64&lt;='Age - Sexe'!$B$3,1,IF(M64&lt;='Age - Sexe'!$B$4,2,IF(M64&lt;='Age - Sexe'!$B$5,3,IF(M64&lt;=AB126,4,5))))</f>
        <v>2</v>
      </c>
      <c r="O64" s="95">
        <f t="shared" si="7"/>
        <v>16.249144421629023</v>
      </c>
      <c r="P64" s="96">
        <f>IF(O64&lt;='Ancienneté - Sexe'!$B$3,1,IF(M64&lt;='Ancienneté - Sexe'!$B$4,2,IF(M64&lt;='Ancienneté - Sexe'!$B$5,3,IF(M64&lt;='Ancienneté - Sexe'!B66,4,5))))</f>
        <v>5</v>
      </c>
      <c r="Q64" s="96">
        <f t="shared" si="8"/>
        <v>12</v>
      </c>
      <c r="R64" s="96">
        <f t="shared" si="4"/>
        <v>33474.285714285717</v>
      </c>
      <c r="S64" s="96">
        <f>IF(R64&lt;=Rémunération!$D$4,1,IF(R64&lt;=Rémunération!$D$5,2,IF(R64&lt;=Rémunération!$D$6,3,IF(R64&lt;=Rémunération!$D$7,4,5))))</f>
        <v>2</v>
      </c>
    </row>
    <row r="65" spans="1:34" x14ac:dyDescent="0.35">
      <c r="A65" s="1"/>
      <c r="B65" s="47" t="s">
        <v>90</v>
      </c>
      <c r="C65" s="7" t="s">
        <v>8</v>
      </c>
      <c r="D65" s="51">
        <v>29591</v>
      </c>
      <c r="E65" s="54">
        <v>44440</v>
      </c>
      <c r="F65" s="53">
        <v>2</v>
      </c>
      <c r="G65" s="35">
        <v>36340</v>
      </c>
      <c r="H65" s="7">
        <v>0</v>
      </c>
      <c r="I65" s="9">
        <v>1</v>
      </c>
      <c r="J65" s="11" t="s">
        <v>130</v>
      </c>
      <c r="K65" s="48" t="s">
        <v>130</v>
      </c>
      <c r="L65" s="92" t="str">
        <f t="shared" si="5"/>
        <v>Individu_78</v>
      </c>
      <c r="M65" s="95">
        <f t="shared" si="6"/>
        <v>40.985626283367559</v>
      </c>
      <c r="N65" s="96">
        <f>IF(M65&lt;='Age - Sexe'!$B$3,1,IF(M65&lt;='Age - Sexe'!$B$4,2,IF(M65&lt;='Age - Sexe'!$B$5,3,IF(M65&lt;=AB127,4,5))))</f>
        <v>3</v>
      </c>
      <c r="O65" s="95">
        <f t="shared" si="7"/>
        <v>0.33127994524298426</v>
      </c>
      <c r="P65" s="96">
        <f>IF(O65&lt;='Ancienneté - Sexe'!$B$3,1,IF(M65&lt;='Ancienneté - Sexe'!$B$4,2,IF(M65&lt;='Ancienneté - Sexe'!$B$5,3,IF(M65&lt;='Ancienneté - Sexe'!B67,4,5))))</f>
        <v>1</v>
      </c>
      <c r="Q65" s="96">
        <f t="shared" si="8"/>
        <v>4</v>
      </c>
      <c r="R65" s="96">
        <f t="shared" si="4"/>
        <v>109020</v>
      </c>
      <c r="S65" s="96">
        <f>IF(R65&lt;=Rémunération!$D$4,1,IF(R65&lt;=Rémunération!$D$5,2,IF(R65&lt;=Rémunération!$D$6,3,IF(R65&lt;=Rémunération!$D$7,4,5))))</f>
        <v>4</v>
      </c>
    </row>
    <row r="66" spans="1:34" x14ac:dyDescent="0.35">
      <c r="A66" s="1"/>
      <c r="B66" s="47" t="s">
        <v>91</v>
      </c>
      <c r="C66" s="7" t="s">
        <v>8</v>
      </c>
      <c r="D66" s="51">
        <v>33218</v>
      </c>
      <c r="E66" s="54">
        <v>41000</v>
      </c>
      <c r="F66" s="53">
        <v>1</v>
      </c>
      <c r="G66" s="35">
        <v>28309</v>
      </c>
      <c r="H66" s="7">
        <v>0</v>
      </c>
      <c r="I66" s="9">
        <v>1</v>
      </c>
      <c r="J66" s="11" t="s">
        <v>130</v>
      </c>
      <c r="K66" s="48" t="s">
        <v>130</v>
      </c>
      <c r="L66" s="92" t="str">
        <f t="shared" si="5"/>
        <v>Individu_79</v>
      </c>
      <c r="M66" s="95">
        <f t="shared" si="6"/>
        <v>31.055441478439427</v>
      </c>
      <c r="N66" s="96">
        <f>IF(M66&lt;='Age - Sexe'!$B$3,1,IF(M66&lt;='Age - Sexe'!$B$4,2,IF(M66&lt;='Age - Sexe'!$B$5,3,IF(M66&lt;=AB128,4,5))))</f>
        <v>2</v>
      </c>
      <c r="O66" s="95">
        <f t="shared" si="7"/>
        <v>9.7494866529774136</v>
      </c>
      <c r="P66" s="96">
        <f>IF(O66&lt;='Ancienneté - Sexe'!$B$3,1,IF(M66&lt;='Ancienneté - Sexe'!$B$4,2,IF(M66&lt;='Ancienneté - Sexe'!$B$5,3,IF(M66&lt;='Ancienneté - Sexe'!B68,4,5))))</f>
        <v>5</v>
      </c>
      <c r="Q66" s="96">
        <f t="shared" si="8"/>
        <v>12</v>
      </c>
      <c r="R66" s="96">
        <f t="shared" si="4"/>
        <v>28309</v>
      </c>
      <c r="S66" s="96">
        <f>IF(R66&lt;=Rémunération!$D$4,1,IF(R66&lt;=Rémunération!$D$5,2,IF(R66&lt;=Rémunération!$D$6,3,IF(R66&lt;=Rémunération!$D$7,4,5))))</f>
        <v>1</v>
      </c>
      <c r="AG66" s="49"/>
      <c r="AH66" s="128"/>
    </row>
    <row r="67" spans="1:34" x14ac:dyDescent="0.35">
      <c r="A67" s="1"/>
      <c r="B67" s="47" t="s">
        <v>92</v>
      </c>
      <c r="C67" s="7" t="s">
        <v>9</v>
      </c>
      <c r="D67" s="51">
        <v>33872</v>
      </c>
      <c r="E67" s="54">
        <v>42583</v>
      </c>
      <c r="F67" s="53">
        <v>1</v>
      </c>
      <c r="G67" s="35">
        <v>29519</v>
      </c>
      <c r="H67" s="7">
        <v>1</v>
      </c>
      <c r="I67" s="9">
        <v>1</v>
      </c>
      <c r="J67" s="11" t="s">
        <v>130</v>
      </c>
      <c r="K67" s="48" t="s">
        <v>130</v>
      </c>
      <c r="L67" s="92" t="str">
        <f t="shared" si="5"/>
        <v>Individu_80</v>
      </c>
      <c r="M67" s="95">
        <f t="shared" si="6"/>
        <v>29.264887063655031</v>
      </c>
      <c r="N67" s="96">
        <f>IF(M67&lt;='Age - Sexe'!$B$3,1,IF(M67&lt;='Age - Sexe'!$B$4,2,IF(M67&lt;='Age - Sexe'!$B$5,3,IF(M67&lt;=AB129,4,5))))</f>
        <v>2</v>
      </c>
      <c r="O67" s="95">
        <f t="shared" si="7"/>
        <v>5.415468856947296</v>
      </c>
      <c r="P67" s="96">
        <f>IF(O67&lt;='Ancienneté - Sexe'!$B$3,1,IF(M67&lt;='Ancienneté - Sexe'!$B$4,2,IF(M67&lt;='Ancienneté - Sexe'!$B$5,3,IF(M67&lt;='Ancienneté - Sexe'!B69,4,5))))</f>
        <v>1</v>
      </c>
      <c r="Q67" s="96">
        <f t="shared" si="8"/>
        <v>12</v>
      </c>
      <c r="R67" s="96">
        <f t="shared" si="4"/>
        <v>29519</v>
      </c>
      <c r="S67" s="96">
        <f>IF(R67&lt;=Rémunération!$D$4,1,IF(R67&lt;=Rémunération!$D$5,2,IF(R67&lt;=Rémunération!$D$6,3,IF(R67&lt;=Rémunération!$D$7,4,5))))</f>
        <v>1</v>
      </c>
      <c r="AG67" s="49"/>
    </row>
    <row r="68" spans="1:34" x14ac:dyDescent="0.35">
      <c r="A68" s="1"/>
      <c r="B68" s="142" t="s">
        <v>13</v>
      </c>
      <c r="C68" s="143" t="s">
        <v>9</v>
      </c>
      <c r="D68" s="144">
        <v>32246</v>
      </c>
      <c r="E68" s="145">
        <v>44044</v>
      </c>
      <c r="F68" s="146">
        <v>1</v>
      </c>
      <c r="G68" s="147">
        <v>9580</v>
      </c>
      <c r="H68" s="148">
        <v>0</v>
      </c>
      <c r="I68" s="149">
        <v>1</v>
      </c>
      <c r="J68" s="150">
        <v>44104</v>
      </c>
      <c r="K68" s="151">
        <v>2</v>
      </c>
      <c r="L68" s="143"/>
      <c r="M68" s="152">
        <f t="shared" ref="M68:M83" si="9">($I$1-D68)/365.25</f>
        <v>33.716632443531829</v>
      </c>
      <c r="N68" s="146">
        <f>IF(M68&lt;='Age - Sexe'!$B$3,1,IF(M68&lt;='Age - Sexe'!$B$4,2,IF(M68&lt;='Age - Sexe'!$B$5,3,IF(M68&lt;=AB130,4,5))))</f>
        <v>2</v>
      </c>
      <c r="O68" s="152">
        <f t="shared" ref="O68:O83" si="10">($I$1-E68)/365.25</f>
        <v>1.4154688569472964</v>
      </c>
      <c r="P68" s="146">
        <f>IF(O68&lt;='Ancienneté - Sexe'!$B$3,1,IF(M68&lt;='Ancienneté - Sexe'!$B$4,2,IF(M68&lt;='Ancienneté - Sexe'!$B$5,3,IF(M68&lt;='Ancienneté - Sexe'!B70,4,5))))</f>
        <v>1</v>
      </c>
      <c r="Q68" s="146">
        <f t="shared" si="8"/>
        <v>2</v>
      </c>
      <c r="R68" s="153">
        <f t="shared" si="4"/>
        <v>57480</v>
      </c>
      <c r="S68" s="146">
        <f>IF(R68&lt;=Rémunération!$D$4,1,IF(R68&lt;=Rémunération!$D$5,2,IF(R68&lt;=Rémunération!$D$6,3,IF(R68&lt;=Rémunération!$D$7,4,5))))</f>
        <v>3</v>
      </c>
      <c r="AB68" s="1"/>
      <c r="AF68" s="1"/>
    </row>
    <row r="69" spans="1:34" x14ac:dyDescent="0.35">
      <c r="A69" s="1"/>
      <c r="B69" s="142" t="s">
        <v>23</v>
      </c>
      <c r="C69" s="143" t="s">
        <v>8</v>
      </c>
      <c r="D69" s="144">
        <v>22354</v>
      </c>
      <c r="E69" s="145">
        <v>30498</v>
      </c>
      <c r="F69" s="146">
        <v>3</v>
      </c>
      <c r="G69" s="147">
        <v>35087</v>
      </c>
      <c r="H69" s="148">
        <v>1</v>
      </c>
      <c r="I69" s="149">
        <v>1</v>
      </c>
      <c r="J69" s="150">
        <v>44074</v>
      </c>
      <c r="K69" s="151">
        <v>3</v>
      </c>
      <c r="L69" s="143"/>
      <c r="M69" s="152">
        <f t="shared" si="9"/>
        <v>60.799452429842574</v>
      </c>
      <c r="N69" s="146">
        <f>IF(M69&lt;='Age - Sexe'!$B$3,1,IF(M69&lt;='Age - Sexe'!$B$4,2,IF(M69&lt;='Age - Sexe'!$B$5,3,IF(M69&lt;=AB131,4,5))))</f>
        <v>5</v>
      </c>
      <c r="O69" s="152">
        <f t="shared" si="10"/>
        <v>38.502395619438744</v>
      </c>
      <c r="P69" s="146">
        <f>IF(O69&lt;='Ancienneté - Sexe'!$B$3,1,IF(M69&lt;='Ancienneté - Sexe'!$B$4,2,IF(M69&lt;='Ancienneté - Sexe'!$B$5,3,IF(M69&lt;='Ancienneté - Sexe'!B71,4,5))))</f>
        <v>5</v>
      </c>
      <c r="Q69" s="146">
        <f t="shared" si="8"/>
        <v>8</v>
      </c>
      <c r="R69" s="153">
        <f t="shared" ref="R69:R82" si="11">(G69/I69)*(12/Q69)</f>
        <v>52630.5</v>
      </c>
      <c r="S69" s="146">
        <f>IF(R69&lt;=Rémunération!$D$4,1,IF(R69&lt;=Rémunération!$D$5,2,IF(R69&lt;=Rémunération!$D$6,3,IF(R69&lt;=Rémunération!$D$7,4,5))))</f>
        <v>3</v>
      </c>
    </row>
    <row r="70" spans="1:34" x14ac:dyDescent="0.35">
      <c r="A70" s="1"/>
      <c r="B70" s="142" t="s">
        <v>39</v>
      </c>
      <c r="C70" s="143" t="s">
        <v>9</v>
      </c>
      <c r="D70" s="144">
        <v>31004</v>
      </c>
      <c r="E70" s="145">
        <v>38261</v>
      </c>
      <c r="F70" s="146">
        <v>1</v>
      </c>
      <c r="G70" s="147">
        <v>17995</v>
      </c>
      <c r="H70" s="148">
        <v>0</v>
      </c>
      <c r="I70" s="149">
        <v>1</v>
      </c>
      <c r="J70" s="150">
        <v>44074</v>
      </c>
      <c r="K70" s="151">
        <v>5</v>
      </c>
      <c r="L70" s="143"/>
      <c r="M70" s="152">
        <f t="shared" si="9"/>
        <v>37.117043121149898</v>
      </c>
      <c r="N70" s="146">
        <f>IF(M70&lt;='Age - Sexe'!$B$3,1,IF(M70&lt;='Age - Sexe'!$B$4,2,IF(M70&lt;='Age - Sexe'!$B$5,3,IF(M70&lt;=AB132,4,5))))</f>
        <v>3</v>
      </c>
      <c r="O70" s="152">
        <f t="shared" si="10"/>
        <v>17.248459958932237</v>
      </c>
      <c r="P70" s="146">
        <f>IF(O70&lt;='Ancienneté - Sexe'!$B$3,1,IF(M70&lt;='Ancienneté - Sexe'!$B$4,2,IF(M70&lt;='Ancienneté - Sexe'!$B$5,3,IF(M70&lt;='Ancienneté - Sexe'!B72,4,5))))</f>
        <v>5</v>
      </c>
      <c r="Q70" s="146">
        <f t="shared" si="8"/>
        <v>8</v>
      </c>
      <c r="R70" s="153">
        <f t="shared" si="11"/>
        <v>26992.5</v>
      </c>
      <c r="S70" s="146">
        <f>IF(R70&lt;=Rémunération!$D$4,1,IF(R70&lt;=Rémunération!$D$5,2,IF(R70&lt;=Rémunération!$D$6,3,IF(R70&lt;=Rémunération!$D$7,4,5))))</f>
        <v>1</v>
      </c>
    </row>
    <row r="71" spans="1:34" x14ac:dyDescent="0.35">
      <c r="A71" s="1"/>
      <c r="B71" s="142" t="s">
        <v>89</v>
      </c>
      <c r="C71" s="143" t="s">
        <v>8</v>
      </c>
      <c r="D71" s="144">
        <v>32362</v>
      </c>
      <c r="E71" s="145">
        <v>43282</v>
      </c>
      <c r="F71" s="146">
        <v>1</v>
      </c>
      <c r="G71" s="147">
        <v>4375</v>
      </c>
      <c r="H71" s="143">
        <v>0</v>
      </c>
      <c r="I71" s="149">
        <v>1</v>
      </c>
      <c r="J71" s="150">
        <v>44074</v>
      </c>
      <c r="K71" s="151">
        <v>5</v>
      </c>
      <c r="L71" s="143"/>
      <c r="M71" s="152">
        <f t="shared" si="9"/>
        <v>33.399041752224505</v>
      </c>
      <c r="N71" s="146">
        <f>IF(M71&lt;='Age - Sexe'!$B$3,1,IF(M71&lt;='Age - Sexe'!$B$4,2,IF(M71&lt;='Age - Sexe'!$B$5,3,IF(M71&lt;=AB133,4,5))))</f>
        <v>2</v>
      </c>
      <c r="O71" s="152">
        <f t="shared" si="10"/>
        <v>3.5017111567419574</v>
      </c>
      <c r="P71" s="146">
        <f>IF(O71&lt;='Ancienneté - Sexe'!$B$3,1,IF(M71&lt;='Ancienneté - Sexe'!$B$4,2,IF(M71&lt;='Ancienneté - Sexe'!$B$5,3,IF(M71&lt;='Ancienneté - Sexe'!B73,4,5))))</f>
        <v>1</v>
      </c>
      <c r="Q71" s="146">
        <f t="shared" si="8"/>
        <v>8</v>
      </c>
      <c r="R71" s="153">
        <f t="shared" si="11"/>
        <v>6562.5</v>
      </c>
      <c r="S71" s="146">
        <f>IF(R71&lt;=Rémunération!$D$4,1,IF(R71&lt;=Rémunération!$D$5,2,IF(R71&lt;=Rémunération!$D$6,3,IF(R71&lt;=Rémunération!$D$7,4,5))))</f>
        <v>1</v>
      </c>
    </row>
    <row r="72" spans="1:34" x14ac:dyDescent="0.35">
      <c r="A72" s="1"/>
      <c r="B72" s="142" t="s">
        <v>17</v>
      </c>
      <c r="C72" s="143" t="s">
        <v>9</v>
      </c>
      <c r="D72" s="144">
        <v>21780</v>
      </c>
      <c r="E72" s="145">
        <v>28550</v>
      </c>
      <c r="F72" s="146">
        <v>3</v>
      </c>
      <c r="G72" s="147">
        <v>20739</v>
      </c>
      <c r="H72" s="148">
        <v>0</v>
      </c>
      <c r="I72" s="149">
        <v>0.7</v>
      </c>
      <c r="J72" s="150">
        <v>44043</v>
      </c>
      <c r="K72" s="151">
        <v>3</v>
      </c>
      <c r="L72" s="143"/>
      <c r="M72" s="152">
        <f t="shared" si="9"/>
        <v>62.370978781656397</v>
      </c>
      <c r="N72" s="146">
        <f>IF(M72&lt;='Age - Sexe'!$B$3,1,IF(M72&lt;='Age - Sexe'!$B$4,2,IF(M72&lt;='Age - Sexe'!$B$5,3,IF(M72&lt;=AB134,4,5))))</f>
        <v>5</v>
      </c>
      <c r="O72" s="152">
        <f t="shared" si="10"/>
        <v>43.835728952772072</v>
      </c>
      <c r="P72" s="146">
        <f>IF(O72&lt;='Ancienneté - Sexe'!$B$3,1,IF(M72&lt;='Ancienneté - Sexe'!$B$4,2,IF(M72&lt;='Ancienneté - Sexe'!$B$5,3,IF(M72&lt;='Ancienneté - Sexe'!B74,4,5))))</f>
        <v>5</v>
      </c>
      <c r="Q72" s="146">
        <f t="shared" si="8"/>
        <v>7</v>
      </c>
      <c r="R72" s="153">
        <f t="shared" si="11"/>
        <v>50789.387755102041</v>
      </c>
      <c r="S72" s="146">
        <f>IF(R72&lt;=Rémunération!$D$4,1,IF(R72&lt;=Rémunération!$D$5,2,IF(R72&lt;=Rémunération!$D$6,3,IF(R72&lt;=Rémunération!$D$7,4,5))))</f>
        <v>3</v>
      </c>
    </row>
    <row r="73" spans="1:34" x14ac:dyDescent="0.35">
      <c r="A73" s="1"/>
      <c r="B73" s="142" t="s">
        <v>48</v>
      </c>
      <c r="C73" s="143" t="s">
        <v>9</v>
      </c>
      <c r="D73" s="144">
        <v>35490</v>
      </c>
      <c r="E73" s="145">
        <v>42917</v>
      </c>
      <c r="F73" s="146">
        <v>1</v>
      </c>
      <c r="G73" s="147">
        <v>9931</v>
      </c>
      <c r="H73" s="148">
        <v>1</v>
      </c>
      <c r="I73" s="149">
        <v>0.5</v>
      </c>
      <c r="J73" s="150">
        <v>44043</v>
      </c>
      <c r="K73" s="151">
        <v>2</v>
      </c>
      <c r="L73" s="143"/>
      <c r="M73" s="152">
        <f t="shared" si="9"/>
        <v>24.83504449007529</v>
      </c>
      <c r="N73" s="146">
        <f>IF(M73&lt;='Age - Sexe'!$B$3,1,IF(M73&lt;='Age - Sexe'!$B$4,2,IF(M73&lt;='Age - Sexe'!$B$5,3,IF(M73&lt;=AB135,4,5))))</f>
        <v>1</v>
      </c>
      <c r="O73" s="152">
        <f t="shared" si="10"/>
        <v>4.5010266940451746</v>
      </c>
      <c r="P73" s="146">
        <f>IF(O73&lt;='Ancienneté - Sexe'!$B$3,1,IF(M73&lt;='Ancienneté - Sexe'!$B$4,2,IF(M73&lt;='Ancienneté - Sexe'!$B$5,3,IF(M73&lt;='Ancienneté - Sexe'!B75,4,5))))</f>
        <v>1</v>
      </c>
      <c r="Q73" s="146">
        <f t="shared" si="8"/>
        <v>7</v>
      </c>
      <c r="R73" s="153">
        <f t="shared" si="11"/>
        <v>34049.142857142855</v>
      </c>
      <c r="S73" s="146">
        <f>IF(R73&lt;=Rémunération!$D$4,1,IF(R73&lt;=Rémunération!$D$5,2,IF(R73&lt;=Rémunération!$D$6,3,IF(R73&lt;=Rémunération!$D$7,4,5))))</f>
        <v>2</v>
      </c>
    </row>
    <row r="74" spans="1:34" x14ac:dyDescent="0.35">
      <c r="A74" s="1"/>
      <c r="B74" s="142" t="s">
        <v>58</v>
      </c>
      <c r="C74" s="143" t="s">
        <v>9</v>
      </c>
      <c r="D74" s="144">
        <v>25263</v>
      </c>
      <c r="E74" s="145">
        <v>35674</v>
      </c>
      <c r="F74" s="146">
        <v>1</v>
      </c>
      <c r="G74" s="147">
        <v>17113</v>
      </c>
      <c r="H74" s="143">
        <v>12</v>
      </c>
      <c r="I74" s="149">
        <v>0.6</v>
      </c>
      <c r="J74" s="150">
        <v>44043</v>
      </c>
      <c r="K74" s="151">
        <v>2</v>
      </c>
      <c r="L74" s="143"/>
      <c r="M74" s="152">
        <f t="shared" si="9"/>
        <v>52.83504449007529</v>
      </c>
      <c r="N74" s="146">
        <f>IF(M74&lt;='Age - Sexe'!$B$3,1,IF(M74&lt;='Age - Sexe'!$B$4,2,IF(M74&lt;='Age - Sexe'!$B$5,3,IF(M74&lt;=AB136,4,5))))</f>
        <v>5</v>
      </c>
      <c r="O74" s="152">
        <f t="shared" si="10"/>
        <v>24.331279945242983</v>
      </c>
      <c r="P74" s="146">
        <f>IF(O74&lt;='Ancienneté - Sexe'!$B$3,1,IF(M74&lt;='Ancienneté - Sexe'!$B$4,2,IF(M74&lt;='Ancienneté - Sexe'!$B$5,3,IF(M74&lt;='Ancienneté - Sexe'!B76,4,5))))</f>
        <v>5</v>
      </c>
      <c r="Q74" s="146">
        <f t="shared" si="8"/>
        <v>7</v>
      </c>
      <c r="R74" s="153">
        <f t="shared" si="11"/>
        <v>48894.28571428571</v>
      </c>
      <c r="S74" s="146">
        <f>IF(R74&lt;=Rémunération!$D$4,1,IF(R74&lt;=Rémunération!$D$5,2,IF(R74&lt;=Rémunération!$D$6,3,IF(R74&lt;=Rémunération!$D$7,4,5))))</f>
        <v>3</v>
      </c>
    </row>
    <row r="75" spans="1:34" x14ac:dyDescent="0.35">
      <c r="A75" s="1"/>
      <c r="B75" s="142" t="s">
        <v>72</v>
      </c>
      <c r="C75" s="143" t="s">
        <v>8</v>
      </c>
      <c r="D75" s="144">
        <v>33287</v>
      </c>
      <c r="E75" s="145">
        <v>43952</v>
      </c>
      <c r="F75" s="146">
        <v>1</v>
      </c>
      <c r="G75" s="147">
        <v>14024</v>
      </c>
      <c r="H75" s="143">
        <v>0</v>
      </c>
      <c r="I75" s="149">
        <v>1</v>
      </c>
      <c r="J75" s="150">
        <v>44043</v>
      </c>
      <c r="K75" s="151">
        <v>5</v>
      </c>
      <c r="L75" s="143"/>
      <c r="M75" s="152">
        <f t="shared" si="9"/>
        <v>30.866529774127311</v>
      </c>
      <c r="N75" s="146">
        <f>IF(M75&lt;='Age - Sexe'!$B$3,1,IF(M75&lt;='Age - Sexe'!$B$4,2,IF(M75&lt;='Age - Sexe'!$B$5,3,IF(M75&lt;=AB137,4,5))))</f>
        <v>2</v>
      </c>
      <c r="O75" s="152">
        <f t="shared" si="10"/>
        <v>1.6673511293634498</v>
      </c>
      <c r="P75" s="146">
        <f>IF(O75&lt;='Ancienneté - Sexe'!$B$3,1,IF(M75&lt;='Ancienneté - Sexe'!$B$4,2,IF(M75&lt;='Ancienneté - Sexe'!$B$5,3,IF(M75&lt;='Ancienneté - Sexe'!B77,4,5))))</f>
        <v>1</v>
      </c>
      <c r="Q75" s="146">
        <f t="shared" si="8"/>
        <v>3</v>
      </c>
      <c r="R75" s="153">
        <f t="shared" si="11"/>
        <v>56096</v>
      </c>
      <c r="S75" s="146">
        <f>IF(R75&lt;=Rémunération!$D$4,1,IF(R75&lt;=Rémunération!$D$5,2,IF(R75&lt;=Rémunération!$D$6,3,IF(R75&lt;=Rémunération!$D$7,4,5))))</f>
        <v>3</v>
      </c>
    </row>
    <row r="76" spans="1:34" ht="13.15" thickBot="1" x14ac:dyDescent="0.4">
      <c r="A76" s="1"/>
      <c r="B76" s="142" t="s">
        <v>44</v>
      </c>
      <c r="C76" s="143" t="s">
        <v>8</v>
      </c>
      <c r="D76" s="144">
        <v>33154</v>
      </c>
      <c r="E76" s="145">
        <v>43191</v>
      </c>
      <c r="F76" s="146">
        <v>2</v>
      </c>
      <c r="G76" s="147">
        <v>7714</v>
      </c>
      <c r="H76" s="148">
        <v>0</v>
      </c>
      <c r="I76" s="149">
        <v>1</v>
      </c>
      <c r="J76" s="150">
        <v>44012</v>
      </c>
      <c r="K76" s="151">
        <v>2</v>
      </c>
      <c r="L76" s="143"/>
      <c r="M76" s="152">
        <f t="shared" si="9"/>
        <v>31.230663928815879</v>
      </c>
      <c r="N76" s="146">
        <f>IF(M76&lt;='Age - Sexe'!$B$3,1,IF(M76&lt;='Age - Sexe'!$B$4,2,IF(M76&lt;='Age - Sexe'!$B$5,3,IF(M76&lt;=AB138,4,5))))</f>
        <v>2</v>
      </c>
      <c r="O76" s="152">
        <f t="shared" si="10"/>
        <v>3.7508555783709787</v>
      </c>
      <c r="P76" s="146">
        <f>IF(O76&lt;='Ancienneté - Sexe'!$B$3,1,IF(M76&lt;='Ancienneté - Sexe'!$B$4,2,IF(M76&lt;='Ancienneté - Sexe'!$B$5,3,IF(M76&lt;='Ancienneté - Sexe'!B78,4,5))))</f>
        <v>1</v>
      </c>
      <c r="Q76" s="146">
        <f t="shared" si="8"/>
        <v>6</v>
      </c>
      <c r="R76" s="153">
        <f t="shared" si="11"/>
        <v>15428</v>
      </c>
      <c r="S76" s="146">
        <f>IF(R76&lt;=Rémunération!$D$4,1,IF(R76&lt;=Rémunération!$D$5,2,IF(R76&lt;=Rémunération!$D$6,3,IF(R76&lt;=Rémunération!$D$7,4,5))))</f>
        <v>1</v>
      </c>
    </row>
    <row r="77" spans="1:34" ht="13.15" x14ac:dyDescent="0.4">
      <c r="A77" s="1"/>
      <c r="B77" s="142" t="s">
        <v>59</v>
      </c>
      <c r="C77" s="143" t="s">
        <v>8</v>
      </c>
      <c r="D77" s="144">
        <v>28171</v>
      </c>
      <c r="E77" s="145">
        <v>37288</v>
      </c>
      <c r="F77" s="146">
        <v>1</v>
      </c>
      <c r="G77" s="147">
        <v>17131</v>
      </c>
      <c r="H77" s="143">
        <v>2</v>
      </c>
      <c r="I77" s="149">
        <v>1</v>
      </c>
      <c r="J77" s="150">
        <v>44012</v>
      </c>
      <c r="K77" s="151">
        <v>1</v>
      </c>
      <c r="L77" s="143"/>
      <c r="M77" s="152">
        <f t="shared" si="9"/>
        <v>44.873374401095141</v>
      </c>
      <c r="N77" s="146">
        <f>IF(M77&lt;='Age - Sexe'!$B$3,1,IF(M77&lt;='Age - Sexe'!$B$4,2,IF(M77&lt;='Age - Sexe'!$B$5,3,IF(M77&lt;=AB139,4,5))))</f>
        <v>5</v>
      </c>
      <c r="O77" s="152">
        <f t="shared" si="10"/>
        <v>19.912388774811774</v>
      </c>
      <c r="P77" s="146">
        <f>IF(O77&lt;='Ancienneté - Sexe'!$B$3,1,IF(M77&lt;='Ancienneté - Sexe'!$B$4,2,IF(M77&lt;='Ancienneté - Sexe'!$B$5,3,IF(M77&lt;='Ancienneté - Sexe'!B79,4,5))))</f>
        <v>5</v>
      </c>
      <c r="Q77" s="146">
        <f t="shared" si="8"/>
        <v>6</v>
      </c>
      <c r="R77" s="153">
        <f t="shared" si="11"/>
        <v>34262</v>
      </c>
      <c r="S77" s="146">
        <f>IF(R77&lt;=Rémunération!$D$4,1,IF(R77&lt;=Rémunération!$D$5,2,IF(R77&lt;=Rémunération!$D$6,3,IF(R77&lt;=Rémunération!$D$7,4,5))))</f>
        <v>2</v>
      </c>
      <c r="U77" s="27" t="s">
        <v>132</v>
      </c>
      <c r="V77" s="28"/>
      <c r="W77" s="29"/>
      <c r="AA77" s="1"/>
      <c r="AB77" s="1"/>
      <c r="AF77" s="1"/>
      <c r="AG77" s="49"/>
      <c r="AH77" s="49"/>
    </row>
    <row r="78" spans="1:34" x14ac:dyDescent="0.35">
      <c r="A78" s="1"/>
      <c r="B78" s="142" t="s">
        <v>26</v>
      </c>
      <c r="C78" s="143" t="s">
        <v>9</v>
      </c>
      <c r="D78" s="144">
        <v>23638</v>
      </c>
      <c r="E78" s="145">
        <v>32813</v>
      </c>
      <c r="F78" s="146">
        <v>2</v>
      </c>
      <c r="G78" s="147">
        <v>20141</v>
      </c>
      <c r="H78" s="148">
        <v>0</v>
      </c>
      <c r="I78" s="149">
        <v>1</v>
      </c>
      <c r="J78" s="150">
        <v>43982</v>
      </c>
      <c r="K78" s="151">
        <v>1</v>
      </c>
      <c r="L78" s="143"/>
      <c r="M78" s="152">
        <f t="shared" si="9"/>
        <v>57.284052019164953</v>
      </c>
      <c r="N78" s="146">
        <f>IF(M78&lt;='Age - Sexe'!$B$3,1,IF(M78&lt;='Age - Sexe'!$B$4,2,IF(M78&lt;='Age - Sexe'!$B$5,3,IF(M78&lt;=AB140,4,5))))</f>
        <v>5</v>
      </c>
      <c r="O78" s="152">
        <f t="shared" si="10"/>
        <v>32.164271047227928</v>
      </c>
      <c r="P78" s="146">
        <f>IF(O78&lt;='Ancienneté - Sexe'!$B$3,1,IF(M78&lt;='Ancienneté - Sexe'!$B$4,2,IF(M78&lt;='Ancienneté - Sexe'!$B$5,3,IF(M78&lt;='Ancienneté - Sexe'!B80,4,5))))</f>
        <v>5</v>
      </c>
      <c r="Q78" s="146">
        <f t="shared" si="8"/>
        <v>5</v>
      </c>
      <c r="R78" s="153">
        <f t="shared" si="11"/>
        <v>48338.400000000001</v>
      </c>
      <c r="S78" s="146">
        <f>IF(R78&lt;=Rémunération!$D$4,1,IF(R78&lt;=Rémunération!$D$5,2,IF(R78&lt;=Rémunération!$D$6,3,IF(R78&lt;=Rémunération!$D$7,4,5))))</f>
        <v>3</v>
      </c>
      <c r="U78" s="30"/>
      <c r="V78" s="31"/>
      <c r="W78" s="32"/>
    </row>
    <row r="79" spans="1:34" x14ac:dyDescent="0.35">
      <c r="A79" s="1"/>
      <c r="B79" s="142" t="s">
        <v>54</v>
      </c>
      <c r="C79" s="143" t="s">
        <v>8</v>
      </c>
      <c r="D79" s="144">
        <v>22454</v>
      </c>
      <c r="E79" s="145">
        <v>30498</v>
      </c>
      <c r="F79" s="146">
        <v>2</v>
      </c>
      <c r="G79" s="147">
        <v>17563</v>
      </c>
      <c r="H79" s="143">
        <v>12</v>
      </c>
      <c r="I79" s="149">
        <v>1</v>
      </c>
      <c r="J79" s="150">
        <v>43982</v>
      </c>
      <c r="K79" s="151">
        <v>2</v>
      </c>
      <c r="L79" s="143"/>
      <c r="M79" s="152">
        <f t="shared" si="9"/>
        <v>60.525667351129364</v>
      </c>
      <c r="N79" s="146">
        <f>IF(M79&lt;='Age - Sexe'!$B$3,1,IF(M79&lt;='Age - Sexe'!$B$4,2,IF(M79&lt;='Age - Sexe'!$B$5,3,IF(M79&lt;=AB141,4,5))))</f>
        <v>5</v>
      </c>
      <c r="O79" s="152">
        <f t="shared" si="10"/>
        <v>38.502395619438744</v>
      </c>
      <c r="P79" s="146">
        <f>IF(O79&lt;='Ancienneté - Sexe'!$B$3,1,IF(M79&lt;='Ancienneté - Sexe'!$B$4,2,IF(M79&lt;='Ancienneté - Sexe'!$B$5,3,IF(M79&lt;='Ancienneté - Sexe'!B81,4,5))))</f>
        <v>5</v>
      </c>
      <c r="Q79" s="146">
        <f t="shared" si="8"/>
        <v>5</v>
      </c>
      <c r="R79" s="153">
        <f t="shared" si="11"/>
        <v>42151.199999999997</v>
      </c>
      <c r="S79" s="146">
        <f>IF(R79&lt;=Rémunération!$D$4,1,IF(R79&lt;=Rémunération!$D$5,2,IF(R79&lt;=Rémunération!$D$6,3,IF(R79&lt;=Rémunération!$D$7,4,5))))</f>
        <v>3</v>
      </c>
      <c r="U79" s="36" t="s">
        <v>165</v>
      </c>
      <c r="V79" s="31"/>
      <c r="W79" s="32"/>
    </row>
    <row r="80" spans="1:34" x14ac:dyDescent="0.35">
      <c r="A80" s="1"/>
      <c r="B80" s="142" t="s">
        <v>70</v>
      </c>
      <c r="C80" s="143" t="s">
        <v>9</v>
      </c>
      <c r="D80" s="144">
        <v>29531</v>
      </c>
      <c r="E80" s="145">
        <v>37742</v>
      </c>
      <c r="F80" s="146">
        <v>1</v>
      </c>
      <c r="G80" s="147">
        <v>12460</v>
      </c>
      <c r="H80" s="143">
        <v>5</v>
      </c>
      <c r="I80" s="149">
        <v>1</v>
      </c>
      <c r="J80" s="150">
        <v>43982</v>
      </c>
      <c r="K80" s="151">
        <v>5</v>
      </c>
      <c r="L80" s="143"/>
      <c r="M80" s="152">
        <f t="shared" si="9"/>
        <v>41.149897330595479</v>
      </c>
      <c r="N80" s="146">
        <f>IF(M80&lt;='Age - Sexe'!$B$3,1,IF(M80&lt;='Age - Sexe'!$B$4,2,IF(M80&lt;='Age - Sexe'!$B$5,3,IF(M80&lt;=AB142,4,5))))</f>
        <v>5</v>
      </c>
      <c r="O80" s="152">
        <f t="shared" si="10"/>
        <v>18.669404517453799</v>
      </c>
      <c r="P80" s="146">
        <f>IF(O80&lt;='Ancienneté - Sexe'!$B$3,1,IF(M80&lt;='Ancienneté - Sexe'!$B$4,2,IF(M80&lt;='Ancienneté - Sexe'!$B$5,3,IF(M80&lt;='Ancienneté - Sexe'!B82,4,5))))</f>
        <v>5</v>
      </c>
      <c r="Q80" s="146">
        <f t="shared" si="8"/>
        <v>5</v>
      </c>
      <c r="R80" s="153">
        <f t="shared" si="11"/>
        <v>29904</v>
      </c>
      <c r="S80" s="146">
        <f>IF(R80&lt;=Rémunération!$D$4,1,IF(R80&lt;=Rémunération!$D$5,2,IF(R80&lt;=Rémunération!$D$6,3,IF(R80&lt;=Rémunération!$D$7,4,5))))</f>
        <v>1</v>
      </c>
      <c r="U80" s="30" t="s">
        <v>133</v>
      </c>
      <c r="V80" s="31"/>
      <c r="W80" s="32"/>
    </row>
    <row r="81" spans="1:23" x14ac:dyDescent="0.35">
      <c r="A81" s="1"/>
      <c r="B81" s="142" t="s">
        <v>35</v>
      </c>
      <c r="C81" s="143" t="s">
        <v>8</v>
      </c>
      <c r="D81" s="144">
        <v>29414</v>
      </c>
      <c r="E81" s="145">
        <v>43282</v>
      </c>
      <c r="F81" s="146">
        <v>2</v>
      </c>
      <c r="G81" s="147">
        <v>14360</v>
      </c>
      <c r="H81" s="148">
        <v>0</v>
      </c>
      <c r="I81" s="149">
        <v>1</v>
      </c>
      <c r="J81" s="150">
        <v>43951</v>
      </c>
      <c r="K81" s="151">
        <v>5</v>
      </c>
      <c r="L81" s="143"/>
      <c r="M81" s="152">
        <f t="shared" si="9"/>
        <v>41.470225872689937</v>
      </c>
      <c r="N81" s="146">
        <f>IF(M81&lt;='Age - Sexe'!$B$3,1,IF(M81&lt;='Age - Sexe'!$B$4,2,IF(M81&lt;='Age - Sexe'!$B$5,3,IF(M81&lt;=AB143,4,5))))</f>
        <v>5</v>
      </c>
      <c r="O81" s="152">
        <f t="shared" si="10"/>
        <v>3.5017111567419574</v>
      </c>
      <c r="P81" s="146">
        <f>IF(O81&lt;='Ancienneté - Sexe'!$B$3,1,IF(M81&lt;='Ancienneté - Sexe'!$B$4,2,IF(M81&lt;='Ancienneté - Sexe'!$B$5,3,IF(M81&lt;='Ancienneté - Sexe'!B83,4,5))))</f>
        <v>1</v>
      </c>
      <c r="Q81" s="146">
        <f t="shared" si="8"/>
        <v>4</v>
      </c>
      <c r="R81" s="153">
        <f t="shared" si="11"/>
        <v>43080</v>
      </c>
      <c r="S81" s="146">
        <f>IF(R81&lt;=Rémunération!$D$4,1,IF(R81&lt;=Rémunération!$D$5,2,IF(R81&lt;=Rémunération!$D$6,3,IF(R81&lt;=Rémunération!$D$7,4,5))))</f>
        <v>3</v>
      </c>
      <c r="U81" s="30" t="s">
        <v>134</v>
      </c>
      <c r="V81" s="31"/>
      <c r="W81" s="32"/>
    </row>
    <row r="82" spans="1:23" ht="13.15" thickBot="1" x14ac:dyDescent="0.4">
      <c r="A82" s="1"/>
      <c r="B82" s="142" t="s">
        <v>64</v>
      </c>
      <c r="C82" s="143" t="s">
        <v>9</v>
      </c>
      <c r="D82" s="144">
        <v>31416</v>
      </c>
      <c r="E82" s="145">
        <v>38292</v>
      </c>
      <c r="F82" s="146">
        <v>1</v>
      </c>
      <c r="G82" s="147">
        <v>11539</v>
      </c>
      <c r="H82" s="143">
        <v>7</v>
      </c>
      <c r="I82" s="149">
        <v>1</v>
      </c>
      <c r="J82" s="150">
        <v>43951</v>
      </c>
      <c r="K82" s="151">
        <v>7</v>
      </c>
      <c r="L82" s="143"/>
      <c r="M82" s="152">
        <f t="shared" si="9"/>
        <v>35.989048596851468</v>
      </c>
      <c r="N82" s="146">
        <f>IF(M82&lt;='Age - Sexe'!$B$3,1,IF(M82&lt;='Age - Sexe'!$B$4,2,IF(M82&lt;='Age - Sexe'!$B$5,3,IF(M82&lt;=AB144,4,5))))</f>
        <v>2</v>
      </c>
      <c r="O82" s="152">
        <f t="shared" si="10"/>
        <v>17.163586584531142</v>
      </c>
      <c r="P82" s="146">
        <f>IF(O82&lt;='Ancienneté - Sexe'!$B$3,1,IF(M82&lt;='Ancienneté - Sexe'!$B$4,2,IF(M82&lt;='Ancienneté - Sexe'!$B$5,3,IF(M82&lt;='Ancienneté - Sexe'!B84,4,5))))</f>
        <v>5</v>
      </c>
      <c r="Q82" s="146">
        <f t="shared" si="8"/>
        <v>4</v>
      </c>
      <c r="R82" s="153">
        <f t="shared" si="11"/>
        <v>34617</v>
      </c>
      <c r="S82" s="146">
        <f>IF(R82&lt;=Rémunération!$D$4,1,IF(R82&lt;=Rémunération!$D$5,2,IF(R82&lt;=Rémunération!$D$6,3,IF(R82&lt;=Rémunération!$D$7,4,5))))</f>
        <v>2</v>
      </c>
      <c r="U82" s="37" t="s">
        <v>166</v>
      </c>
      <c r="V82" s="33"/>
      <c r="W82" s="34"/>
    </row>
    <row r="83" spans="1:23" ht="13.15" thickBot="1" x14ac:dyDescent="0.4">
      <c r="A83" s="1"/>
      <c r="B83" s="154" t="s">
        <v>71</v>
      </c>
      <c r="C83" s="155" t="s">
        <v>9</v>
      </c>
      <c r="D83" s="156">
        <v>25073</v>
      </c>
      <c r="E83" s="157">
        <v>32356</v>
      </c>
      <c r="F83" s="158">
        <v>2</v>
      </c>
      <c r="G83" s="159">
        <v>13110</v>
      </c>
      <c r="H83" s="155">
        <v>90</v>
      </c>
      <c r="I83" s="160">
        <v>0.5</v>
      </c>
      <c r="J83" s="161">
        <v>43951</v>
      </c>
      <c r="K83" s="162">
        <v>2</v>
      </c>
      <c r="L83" s="155"/>
      <c r="M83" s="163">
        <f t="shared" si="9"/>
        <v>53.355236139630392</v>
      </c>
      <c r="N83" s="158">
        <f>IF(M83&lt;='Age - Sexe'!$B$3,1,IF(M83&lt;='Age - Sexe'!$B$4,2,IF(M83&lt;='Age - Sexe'!$B$5,3,IF(M83&lt;=AB145,4,5))))</f>
        <v>5</v>
      </c>
      <c r="O83" s="163">
        <f t="shared" si="10"/>
        <v>33.4154688569473</v>
      </c>
      <c r="P83" s="158">
        <f>IF(O83&lt;='Ancienneté - Sexe'!$B$3,1,IF(M83&lt;='Ancienneté - Sexe'!$B$4,2,IF(M83&lt;='Ancienneté - Sexe'!$B$5,3,IF(M83&lt;='Ancienneté - Sexe'!B85,4,5))))</f>
        <v>5</v>
      </c>
      <c r="Q83" s="158">
        <f t="shared" si="8"/>
        <v>4</v>
      </c>
      <c r="R83" s="164">
        <f>(G83/I83)*(12/Q83)</f>
        <v>78660</v>
      </c>
      <c r="S83" s="158">
        <f>IF(R83&lt;=Rémunération!$D$4,1,IF(R83&lt;=Rémunération!$D$5,2,IF(R83&lt;=Rémunération!$D$6,3,IF(R83&lt;=Rémunération!$D$7,4,5))))</f>
        <v>4</v>
      </c>
    </row>
    <row r="85" spans="1:23" x14ac:dyDescent="0.35">
      <c r="C85"/>
      <c r="I85" s="89">
        <f>SUM(I4:I67)</f>
        <v>60.699999999999996</v>
      </c>
    </row>
    <row r="86" spans="1:23" x14ac:dyDescent="0.35">
      <c r="C86"/>
    </row>
    <row r="87" spans="1:23" x14ac:dyDescent="0.35">
      <c r="C87"/>
      <c r="D87"/>
      <c r="E87"/>
    </row>
    <row r="88" spans="1:23" x14ac:dyDescent="0.35">
      <c r="C88"/>
      <c r="D88"/>
      <c r="E88"/>
    </row>
    <row r="89" spans="1:23" x14ac:dyDescent="0.35">
      <c r="C89"/>
      <c r="D89"/>
      <c r="E89"/>
    </row>
    <row r="90" spans="1:23" x14ac:dyDescent="0.35">
      <c r="C90"/>
      <c r="D90"/>
      <c r="E90"/>
    </row>
    <row r="91" spans="1:23" x14ac:dyDescent="0.35">
      <c r="C91"/>
      <c r="D91"/>
      <c r="E91"/>
    </row>
    <row r="92" spans="1:23" x14ac:dyDescent="0.35">
      <c r="C92"/>
      <c r="D92"/>
      <c r="E92"/>
    </row>
    <row r="93" spans="1:23" x14ac:dyDescent="0.35">
      <c r="C93"/>
      <c r="D93"/>
      <c r="E93"/>
    </row>
    <row r="94" spans="1:23" x14ac:dyDescent="0.35">
      <c r="C94"/>
      <c r="D94"/>
      <c r="E94"/>
    </row>
    <row r="95" spans="1:23" x14ac:dyDescent="0.35">
      <c r="C95"/>
      <c r="D95"/>
      <c r="E95"/>
    </row>
    <row r="97" spans="17:17" ht="13.15" x14ac:dyDescent="0.4">
      <c r="Q97" s="57"/>
    </row>
    <row r="98" spans="17:17" x14ac:dyDescent="0.35">
      <c r="Q98"/>
    </row>
    <row r="101" spans="17:17" ht="13.15" x14ac:dyDescent="0.4">
      <c r="Q101" s="57"/>
    </row>
    <row r="107" spans="17:17" ht="13.15" x14ac:dyDescent="0.4">
      <c r="Q107" s="57"/>
    </row>
    <row r="108" spans="17:17" x14ac:dyDescent="0.35">
      <c r="Q108"/>
    </row>
    <row r="110" spans="17:17" ht="13.15" x14ac:dyDescent="0.4">
      <c r="Q110" s="57"/>
    </row>
    <row r="116" spans="17:17" ht="13.15" x14ac:dyDescent="0.4">
      <c r="Q116" s="57"/>
    </row>
    <row r="117" spans="17:17" x14ac:dyDescent="0.35">
      <c r="Q117"/>
    </row>
    <row r="118" spans="17:17" x14ac:dyDescent="0.35">
      <c r="Q118"/>
    </row>
    <row r="119" spans="17:17" x14ac:dyDescent="0.35">
      <c r="Q119"/>
    </row>
    <row r="120" spans="17:17" x14ac:dyDescent="0.35">
      <c r="Q120"/>
    </row>
    <row r="121" spans="17:17" x14ac:dyDescent="0.35">
      <c r="Q121"/>
    </row>
    <row r="122" spans="17:17" x14ac:dyDescent="0.35">
      <c r="Q122"/>
    </row>
    <row r="123" spans="17:17" x14ac:dyDescent="0.35">
      <c r="Q123"/>
    </row>
    <row r="124" spans="17:17" x14ac:dyDescent="0.35">
      <c r="Q124"/>
    </row>
    <row r="125" spans="17:17" x14ac:dyDescent="0.35">
      <c r="Q125"/>
    </row>
    <row r="126" spans="17:17" x14ac:dyDescent="0.35">
      <c r="Q126"/>
    </row>
    <row r="127" spans="17:17" x14ac:dyDescent="0.35">
      <c r="Q127"/>
    </row>
    <row r="128" spans="17:17" x14ac:dyDescent="0.35">
      <c r="Q128"/>
    </row>
    <row r="129" spans="17:17" x14ac:dyDescent="0.35">
      <c r="Q129"/>
    </row>
    <row r="130" spans="17:17" x14ac:dyDescent="0.35">
      <c r="Q130"/>
    </row>
    <row r="131" spans="17:17" x14ac:dyDescent="0.35">
      <c r="Q131"/>
    </row>
    <row r="132" spans="17:17" x14ac:dyDescent="0.35">
      <c r="Q132"/>
    </row>
    <row r="133" spans="17:17" x14ac:dyDescent="0.35">
      <c r="Q133"/>
    </row>
    <row r="134" spans="17:17" x14ac:dyDescent="0.35">
      <c r="Q134"/>
    </row>
  </sheetData>
  <sortState xmlns:xlrd2="http://schemas.microsoft.com/office/spreadsheetml/2017/richdata2" ref="B4:K83">
    <sortCondition descending="1" ref="J4:J83"/>
  </sortState>
  <mergeCells count="2">
    <mergeCell ref="G1:H1"/>
    <mergeCell ref="U1:X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8B86-E933-4DD5-A40E-7B5F7FAF5DDF}">
  <dimension ref="A3:D9"/>
  <sheetViews>
    <sheetView workbookViewId="0">
      <selection activeCell="F25" sqref="F25"/>
    </sheetView>
  </sheetViews>
  <sheetFormatPr baseColWidth="10" defaultRowHeight="12.75" x14ac:dyDescent="0.35"/>
  <cols>
    <col min="1" max="1" width="22.265625" bestFit="1" customWidth="1"/>
    <col min="2" max="2" width="23.1328125" bestFit="1" customWidth="1"/>
    <col min="3" max="3" width="9.6640625" customWidth="1"/>
    <col min="4" max="4" width="12.265625" bestFit="1" customWidth="1"/>
  </cols>
  <sheetData>
    <row r="3" spans="1:4" x14ac:dyDescent="0.35">
      <c r="A3" s="93" t="s">
        <v>228</v>
      </c>
      <c r="B3" s="93" t="s">
        <v>229</v>
      </c>
    </row>
    <row r="4" spans="1:4" x14ac:dyDescent="0.35">
      <c r="A4" s="93" t="s">
        <v>173</v>
      </c>
      <c r="B4" t="s">
        <v>9</v>
      </c>
      <c r="C4" t="s">
        <v>8</v>
      </c>
      <c r="D4" t="s">
        <v>174</v>
      </c>
    </row>
    <row r="5" spans="1:4" x14ac:dyDescent="0.35">
      <c r="A5" s="3">
        <v>1</v>
      </c>
      <c r="B5">
        <v>187</v>
      </c>
      <c r="C5">
        <v>158</v>
      </c>
      <c r="D5">
        <v>345</v>
      </c>
    </row>
    <row r="6" spans="1:4" x14ac:dyDescent="0.35">
      <c r="A6" s="3">
        <v>2</v>
      </c>
      <c r="B6">
        <v>41</v>
      </c>
      <c r="C6">
        <v>28</v>
      </c>
      <c r="D6">
        <v>69</v>
      </c>
    </row>
    <row r="7" spans="1:4" x14ac:dyDescent="0.35">
      <c r="A7" s="3">
        <v>3</v>
      </c>
      <c r="B7">
        <v>1</v>
      </c>
      <c r="C7">
        <v>29</v>
      </c>
      <c r="D7">
        <v>30</v>
      </c>
    </row>
    <row r="8" spans="1:4" x14ac:dyDescent="0.35">
      <c r="A8" s="3">
        <v>4</v>
      </c>
      <c r="B8">
        <v>0</v>
      </c>
      <c r="C8">
        <v>4</v>
      </c>
      <c r="D8">
        <v>4</v>
      </c>
    </row>
    <row r="9" spans="1:4" x14ac:dyDescent="0.35">
      <c r="A9" s="94" t="s">
        <v>174</v>
      </c>
      <c r="B9">
        <v>229</v>
      </c>
      <c r="C9">
        <v>219</v>
      </c>
      <c r="D9">
        <v>448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9FC50-2A11-4648-BDAC-7F7E43EF14BA}">
  <dimension ref="A1:K65"/>
  <sheetViews>
    <sheetView workbookViewId="0">
      <selection activeCell="M17" sqref="M17"/>
    </sheetView>
  </sheetViews>
  <sheetFormatPr baseColWidth="10" defaultRowHeight="12.75" x14ac:dyDescent="0.35"/>
  <cols>
    <col min="1" max="1" width="10.6640625" style="141"/>
    <col min="2" max="4" width="10.6640625" style="39"/>
    <col min="5" max="5" width="23.265625" style="39" customWidth="1"/>
    <col min="6" max="16384" width="10.6640625" style="39"/>
  </cols>
  <sheetData>
    <row r="1" spans="1:11" ht="13.5" thickBot="1" x14ac:dyDescent="0.45">
      <c r="A1" s="5" t="s">
        <v>204</v>
      </c>
      <c r="B1" s="4" t="s">
        <v>7</v>
      </c>
    </row>
    <row r="2" spans="1:11" ht="13.9" thickTop="1" thickBot="1" x14ac:dyDescent="0.45">
      <c r="A2" s="137">
        <v>1</v>
      </c>
      <c r="B2" s="138">
        <v>16844</v>
      </c>
      <c r="D2" s="214" t="s">
        <v>227</v>
      </c>
      <c r="E2" s="214"/>
      <c r="F2" s="214"/>
      <c r="G2" s="214"/>
      <c r="H2" s="214"/>
      <c r="I2" s="214"/>
      <c r="J2" s="214"/>
      <c r="K2" s="214"/>
    </row>
    <row r="3" spans="1:11" ht="14.25" thickTop="1" x14ac:dyDescent="0.4">
      <c r="A3" s="139">
        <v>1</v>
      </c>
      <c r="B3" s="140">
        <v>19864</v>
      </c>
      <c r="D3" s="172"/>
      <c r="E3" s="172"/>
      <c r="F3" s="173">
        <v>1</v>
      </c>
      <c r="G3" s="173">
        <v>2</v>
      </c>
      <c r="H3" s="173">
        <v>3</v>
      </c>
      <c r="I3" s="173">
        <v>4</v>
      </c>
      <c r="J3" s="173">
        <v>5</v>
      </c>
      <c r="K3" s="174" t="s">
        <v>221</v>
      </c>
    </row>
    <row r="4" spans="1:11" ht="13.9" x14ac:dyDescent="0.35">
      <c r="A4" s="139">
        <v>1</v>
      </c>
      <c r="B4" s="140">
        <v>20234</v>
      </c>
      <c r="D4" s="167">
        <v>30000</v>
      </c>
      <c r="E4" s="168" t="s">
        <v>222</v>
      </c>
      <c r="F4" s="169">
        <f>COUNTIFS($A$2:$A$65,"1",$B$2:$B$65, "&lt; 30000")</f>
        <v>37</v>
      </c>
      <c r="G4" s="169">
        <f>COUNTIFS($A$2:$A$65,"2",$B$2:$B$65, "&lt; 30000")</f>
        <v>0</v>
      </c>
      <c r="H4" s="169">
        <f>COUNTIFS($A$2:$A$65,"3",$B$2:$B$65, "&lt; 30000")</f>
        <v>0</v>
      </c>
      <c r="I4" s="169">
        <f>COUNTIFS($A$2:$A$65,"4",$B$2:$B$65, "&lt; 30000")</f>
        <v>0</v>
      </c>
      <c r="J4" s="169">
        <f>COUNTIFS($A$2:$A$65,"5",$B$2:$B$65, "&lt; 30000")</f>
        <v>0</v>
      </c>
      <c r="K4" s="169">
        <f>SUM(F4:J4)</f>
        <v>37</v>
      </c>
    </row>
    <row r="5" spans="1:11" ht="13.9" x14ac:dyDescent="0.35">
      <c r="A5" s="139">
        <v>1</v>
      </c>
      <c r="B5" s="140">
        <v>20523</v>
      </c>
      <c r="D5" s="167">
        <v>40000</v>
      </c>
      <c r="E5" s="168" t="s">
        <v>223</v>
      </c>
      <c r="F5" s="169">
        <f>COUNTIFS($A$2:$A$65,"1",$B$2:$B$65,"&gt;=30000",$B$2:$B$65,"&lt;=40000")</f>
        <v>0</v>
      </c>
      <c r="G5" s="169">
        <f>COUNTIFS($A$2:$A$65,"2",$B$2:$B$65,"&gt;=30000",$B$2:$B$65,"&lt;=40000")</f>
        <v>11</v>
      </c>
      <c r="H5" s="169">
        <f>COUNTIFS($A$2:$A$65,"3",$B$2:$B$65,"&gt;=30000",$B$2:$B$65,"&lt;=40000")</f>
        <v>0</v>
      </c>
      <c r="I5" s="169">
        <f>COUNTIFS($A$2:$A$65,"4",$B$2:$B$65,"&gt;=30000",$B$2:$B$65,"&lt;=40000")</f>
        <v>0</v>
      </c>
      <c r="J5" s="169">
        <f>COUNTIFS($A$2:$A$65,"5",$B$2:$B$65,"&gt;=30000",$B$2:$B$65,"&lt;=40000")</f>
        <v>0</v>
      </c>
      <c r="K5" s="169">
        <f t="shared" ref="K5:K8" si="0">SUM(F5:J5)</f>
        <v>11</v>
      </c>
    </row>
    <row r="6" spans="1:11" ht="13.9" x14ac:dyDescent="0.35">
      <c r="A6" s="139">
        <v>1</v>
      </c>
      <c r="B6" s="140">
        <v>21906</v>
      </c>
      <c r="D6" s="167">
        <v>60000</v>
      </c>
      <c r="E6" s="168" t="s">
        <v>224</v>
      </c>
      <c r="F6" s="169">
        <f>COUNTIFS($A$2:$A$66,"1",$B$2:$B$66,"&gt;=40000",$B$2:$B$66,"&lt;=60000")</f>
        <v>0</v>
      </c>
      <c r="G6" s="169">
        <f>COUNTIFS($A$2:$A$66,"2",$B$2:$B$66,"&gt;=40000",$B$2:$B$66,"&lt;=60000")</f>
        <v>0</v>
      </c>
      <c r="H6" s="169">
        <f>COUNTIFS($A$2:$A$66,"3",$B$2:$B$66,"&gt;=40000",$B$2:$B$66,"&lt;=60000")</f>
        <v>12</v>
      </c>
      <c r="I6" s="169">
        <f>COUNTIFS($A$2:$A$66,"4",$B$2:$B$66,"&gt;=40000",$B$2:$B$66,"&lt;=60000")</f>
        <v>0</v>
      </c>
      <c r="J6" s="169">
        <f>COUNTIFS($A$2:$A$66,"5",$B$2:$B$66,"&gt;=40000",$B$2:$B$66,"&lt;=60000")</f>
        <v>0</v>
      </c>
      <c r="K6" s="169">
        <f t="shared" si="0"/>
        <v>12</v>
      </c>
    </row>
    <row r="7" spans="1:11" ht="13.9" x14ac:dyDescent="0.35">
      <c r="A7" s="139">
        <v>1</v>
      </c>
      <c r="B7" s="140">
        <v>23432</v>
      </c>
      <c r="D7" s="167">
        <v>120000</v>
      </c>
      <c r="E7" s="168" t="s">
        <v>225</v>
      </c>
      <c r="F7" s="169">
        <f>COUNTIFS($A$2:$A$66,"1",$B$2:$B$66,"&gt;=60000",$B$2:$B$66,"&lt;=120000")</f>
        <v>0</v>
      </c>
      <c r="G7" s="169">
        <f>COUNTIFS($A$2:$A$66,"2",$B$2:$B$66,"&gt;=60000",$B$2:$B$66,"&lt;=120000")</f>
        <v>0</v>
      </c>
      <c r="H7" s="169">
        <f>COUNTIFS($A$2:$A$66,"3",$B$2:$B$66,"&gt;=60000",$B$2:$B$66,"&lt;=120000")</f>
        <v>0</v>
      </c>
      <c r="I7" s="169">
        <f>COUNTIFS($A$2:$A$66,"4",$B$2:$B$66,"&gt;=60000",$B$2:$B$66,"&lt;=120000")</f>
        <v>2</v>
      </c>
      <c r="J7" s="169">
        <f>COUNTIFS($A$2:$A$66,"5",$B$2:$B$66,"&gt;=60000",$B$2:$B$66,"&lt;=120000")</f>
        <v>0</v>
      </c>
      <c r="K7" s="169">
        <f t="shared" si="0"/>
        <v>2</v>
      </c>
    </row>
    <row r="8" spans="1:11" ht="13.9" x14ac:dyDescent="0.35">
      <c r="A8" s="139">
        <v>1</v>
      </c>
      <c r="B8" s="140">
        <v>23826</v>
      </c>
      <c r="D8" s="167"/>
      <c r="E8" s="168" t="s">
        <v>226</v>
      </c>
      <c r="F8" s="169">
        <f>COUNTIFS($A$2:$A$66,"1",$B$2:$B$66,"&gt;120000")</f>
        <v>0</v>
      </c>
      <c r="G8" s="169">
        <f>COUNTIFS($A$2:$A$66,"2",$B$2:$B$66,"&gt;120000")</f>
        <v>0</v>
      </c>
      <c r="H8" s="169">
        <f>COUNTIFS($A$2:$A$66,"3",$B$2:$B$66,"&gt;120000")</f>
        <v>0</v>
      </c>
      <c r="I8" s="169">
        <f>COUNTIFS($A$2:$A$66,"4",$B$2:$B$66,"&gt;120000")</f>
        <v>0</v>
      </c>
      <c r="J8" s="169">
        <f>COUNTIFS($A$2:$A$66,"5",$B$2:$B$66,"&gt;120000")</f>
        <v>2</v>
      </c>
      <c r="K8" s="169">
        <f t="shared" si="0"/>
        <v>2</v>
      </c>
    </row>
    <row r="9" spans="1:11" ht="14.25" thickBot="1" x14ac:dyDescent="0.4">
      <c r="A9" s="139">
        <v>1</v>
      </c>
      <c r="B9" s="140">
        <v>24385</v>
      </c>
      <c r="D9" s="170"/>
      <c r="E9" s="171" t="s">
        <v>221</v>
      </c>
      <c r="F9" s="112">
        <f>SUM(F4:F8)</f>
        <v>37</v>
      </c>
      <c r="G9" s="112">
        <f t="shared" ref="G9:J9" si="1">SUM(G4:G8)</f>
        <v>11</v>
      </c>
      <c r="H9" s="112">
        <f t="shared" si="1"/>
        <v>12</v>
      </c>
      <c r="I9" s="112">
        <f t="shared" si="1"/>
        <v>2</v>
      </c>
      <c r="J9" s="112">
        <f t="shared" si="1"/>
        <v>2</v>
      </c>
      <c r="K9" s="112">
        <f>SUM(K4:K8)</f>
        <v>64</v>
      </c>
    </row>
    <row r="10" spans="1:11" ht="13.15" thickTop="1" x14ac:dyDescent="0.35">
      <c r="A10" s="139">
        <v>1</v>
      </c>
      <c r="B10" s="140">
        <v>25951</v>
      </c>
    </row>
    <row r="11" spans="1:11" x14ac:dyDescent="0.35">
      <c r="A11" s="139">
        <v>1</v>
      </c>
      <c r="B11" s="140">
        <v>26059</v>
      </c>
    </row>
    <row r="12" spans="1:11" x14ac:dyDescent="0.35">
      <c r="A12" s="139">
        <v>1</v>
      </c>
      <c r="B12" s="140">
        <v>26059</v>
      </c>
    </row>
    <row r="13" spans="1:11" x14ac:dyDescent="0.35">
      <c r="A13" s="139">
        <v>1</v>
      </c>
      <c r="B13" s="140">
        <v>26252</v>
      </c>
    </row>
    <row r="14" spans="1:11" x14ac:dyDescent="0.35">
      <c r="A14" s="139">
        <v>1</v>
      </c>
      <c r="B14" s="140">
        <v>26961</v>
      </c>
    </row>
    <row r="15" spans="1:11" x14ac:dyDescent="0.35">
      <c r="A15" s="139">
        <v>1</v>
      </c>
      <c r="B15" s="140">
        <v>27082</v>
      </c>
    </row>
    <row r="16" spans="1:11" x14ac:dyDescent="0.35">
      <c r="A16" s="139">
        <v>1</v>
      </c>
      <c r="B16" s="140">
        <v>27082</v>
      </c>
    </row>
    <row r="17" spans="1:2" x14ac:dyDescent="0.35">
      <c r="A17" s="139">
        <v>1</v>
      </c>
      <c r="B17" s="140">
        <v>27374</v>
      </c>
    </row>
    <row r="18" spans="1:2" x14ac:dyDescent="0.35">
      <c r="A18" s="139">
        <v>1</v>
      </c>
      <c r="B18" s="140">
        <v>27482</v>
      </c>
    </row>
    <row r="19" spans="1:2" x14ac:dyDescent="0.35">
      <c r="A19" s="139">
        <v>1</v>
      </c>
      <c r="B19" s="140">
        <v>27529</v>
      </c>
    </row>
    <row r="20" spans="1:2" x14ac:dyDescent="0.35">
      <c r="A20" s="139">
        <v>1</v>
      </c>
      <c r="B20" s="140">
        <v>27579</v>
      </c>
    </row>
    <row r="21" spans="1:2" x14ac:dyDescent="0.35">
      <c r="A21" s="139">
        <v>1</v>
      </c>
      <c r="B21" s="140">
        <v>27680</v>
      </c>
    </row>
    <row r="22" spans="1:2" x14ac:dyDescent="0.35">
      <c r="A22" s="139">
        <v>1</v>
      </c>
      <c r="B22" s="140">
        <v>27854</v>
      </c>
    </row>
    <row r="23" spans="1:2" x14ac:dyDescent="0.35">
      <c r="A23" s="139">
        <v>1</v>
      </c>
      <c r="B23" s="140">
        <v>27903</v>
      </c>
    </row>
    <row r="24" spans="1:2" x14ac:dyDescent="0.35">
      <c r="A24" s="139">
        <v>1</v>
      </c>
      <c r="B24" s="140">
        <v>27914</v>
      </c>
    </row>
    <row r="25" spans="1:2" x14ac:dyDescent="0.35">
      <c r="A25" s="139">
        <v>1</v>
      </c>
      <c r="B25" s="140">
        <v>28175</v>
      </c>
    </row>
    <row r="26" spans="1:2" x14ac:dyDescent="0.35">
      <c r="A26" s="139">
        <v>1</v>
      </c>
      <c r="B26" s="140">
        <v>28264</v>
      </c>
    </row>
    <row r="27" spans="1:2" x14ac:dyDescent="0.35">
      <c r="A27" s="139">
        <v>1</v>
      </c>
      <c r="B27" s="140">
        <v>28269</v>
      </c>
    </row>
    <row r="28" spans="1:2" x14ac:dyDescent="0.35">
      <c r="A28" s="139">
        <v>1</v>
      </c>
      <c r="B28" s="140">
        <v>28309</v>
      </c>
    </row>
    <row r="29" spans="1:2" x14ac:dyDescent="0.35">
      <c r="A29" s="139">
        <v>1</v>
      </c>
      <c r="B29" s="140">
        <v>28418</v>
      </c>
    </row>
    <row r="30" spans="1:2" x14ac:dyDescent="0.35">
      <c r="A30" s="139">
        <v>1</v>
      </c>
      <c r="B30" s="140">
        <v>28605</v>
      </c>
    </row>
    <row r="31" spans="1:2" x14ac:dyDescent="0.35">
      <c r="A31" s="139">
        <v>1</v>
      </c>
      <c r="B31" s="140">
        <v>28732</v>
      </c>
    </row>
    <row r="32" spans="1:2" x14ac:dyDescent="0.35">
      <c r="A32" s="139">
        <v>1</v>
      </c>
      <c r="B32" s="140">
        <v>28774</v>
      </c>
    </row>
    <row r="33" spans="1:2" x14ac:dyDescent="0.35">
      <c r="A33" s="139">
        <v>1</v>
      </c>
      <c r="B33" s="140">
        <v>28882</v>
      </c>
    </row>
    <row r="34" spans="1:2" x14ac:dyDescent="0.35">
      <c r="A34" s="139">
        <v>1</v>
      </c>
      <c r="B34" s="140">
        <v>29109</v>
      </c>
    </row>
    <row r="35" spans="1:2" x14ac:dyDescent="0.35">
      <c r="A35" s="139">
        <v>1</v>
      </c>
      <c r="B35" s="140">
        <v>29146</v>
      </c>
    </row>
    <row r="36" spans="1:2" x14ac:dyDescent="0.35">
      <c r="A36" s="139">
        <v>1</v>
      </c>
      <c r="B36" s="140">
        <v>29245</v>
      </c>
    </row>
    <row r="37" spans="1:2" x14ac:dyDescent="0.35">
      <c r="A37" s="139">
        <v>1</v>
      </c>
      <c r="B37" s="140">
        <v>29519</v>
      </c>
    </row>
    <row r="38" spans="1:2" x14ac:dyDescent="0.35">
      <c r="A38" s="139">
        <v>1</v>
      </c>
      <c r="B38" s="140">
        <v>29545</v>
      </c>
    </row>
    <row r="39" spans="1:2" x14ac:dyDescent="0.35">
      <c r="A39" s="139">
        <v>2</v>
      </c>
      <c r="B39" s="140">
        <v>30759</v>
      </c>
    </row>
    <row r="40" spans="1:2" x14ac:dyDescent="0.35">
      <c r="A40" s="139">
        <v>2</v>
      </c>
      <c r="B40" s="140">
        <v>30969</v>
      </c>
    </row>
    <row r="41" spans="1:2" x14ac:dyDescent="0.35">
      <c r="A41" s="139">
        <v>2</v>
      </c>
      <c r="B41" s="140">
        <v>31481</v>
      </c>
    </row>
    <row r="42" spans="1:2" x14ac:dyDescent="0.35">
      <c r="A42" s="139">
        <v>2</v>
      </c>
      <c r="B42" s="140">
        <v>32704</v>
      </c>
    </row>
    <row r="43" spans="1:2" x14ac:dyDescent="0.35">
      <c r="A43" s="139">
        <v>2</v>
      </c>
      <c r="B43" s="140">
        <v>33306</v>
      </c>
    </row>
    <row r="44" spans="1:2" x14ac:dyDescent="0.35">
      <c r="A44" s="139">
        <v>2</v>
      </c>
      <c r="B44" s="140">
        <v>33352</v>
      </c>
    </row>
    <row r="45" spans="1:2" x14ac:dyDescent="0.35">
      <c r="A45" s="139">
        <v>2</v>
      </c>
      <c r="B45" s="140">
        <v>33734</v>
      </c>
    </row>
    <row r="46" spans="1:2" x14ac:dyDescent="0.35">
      <c r="A46" s="139">
        <v>2</v>
      </c>
      <c r="B46" s="140">
        <v>35152</v>
      </c>
    </row>
    <row r="47" spans="1:2" x14ac:dyDescent="0.35">
      <c r="A47" s="139">
        <v>2</v>
      </c>
      <c r="B47" s="140">
        <v>35644</v>
      </c>
    </row>
    <row r="48" spans="1:2" x14ac:dyDescent="0.35">
      <c r="A48" s="139">
        <v>2</v>
      </c>
      <c r="B48" s="140">
        <v>36340</v>
      </c>
    </row>
    <row r="49" spans="1:2" x14ac:dyDescent="0.35">
      <c r="A49" s="139">
        <v>2</v>
      </c>
      <c r="B49" s="140">
        <v>36555</v>
      </c>
    </row>
    <row r="50" spans="1:2" x14ac:dyDescent="0.35">
      <c r="A50" s="139">
        <v>3</v>
      </c>
      <c r="B50" s="140">
        <v>44203</v>
      </c>
    </row>
    <row r="51" spans="1:2" x14ac:dyDescent="0.35">
      <c r="A51" s="139">
        <v>3</v>
      </c>
      <c r="B51" s="140">
        <v>46356</v>
      </c>
    </row>
    <row r="52" spans="1:2" x14ac:dyDescent="0.35">
      <c r="A52" s="139">
        <v>3</v>
      </c>
      <c r="B52" s="140">
        <v>49929</v>
      </c>
    </row>
    <row r="53" spans="1:2" x14ac:dyDescent="0.35">
      <c r="A53" s="139">
        <v>3</v>
      </c>
      <c r="B53" s="140">
        <v>50237</v>
      </c>
    </row>
    <row r="54" spans="1:2" x14ac:dyDescent="0.35">
      <c r="A54" s="139">
        <v>3</v>
      </c>
      <c r="B54" s="140">
        <v>52174</v>
      </c>
    </row>
    <row r="55" spans="1:2" x14ac:dyDescent="0.35">
      <c r="A55" s="139">
        <v>3</v>
      </c>
      <c r="B55" s="140">
        <v>52441</v>
      </c>
    </row>
    <row r="56" spans="1:2" x14ac:dyDescent="0.35">
      <c r="A56" s="139">
        <v>3</v>
      </c>
      <c r="B56" s="140">
        <v>53110</v>
      </c>
    </row>
    <row r="57" spans="1:2" x14ac:dyDescent="0.35">
      <c r="A57" s="139">
        <v>3</v>
      </c>
      <c r="B57" s="140">
        <v>54312</v>
      </c>
    </row>
    <row r="58" spans="1:2" x14ac:dyDescent="0.35">
      <c r="A58" s="139">
        <v>3</v>
      </c>
      <c r="B58" s="140">
        <v>54566</v>
      </c>
    </row>
    <row r="59" spans="1:2" x14ac:dyDescent="0.35">
      <c r="A59" s="139">
        <v>3</v>
      </c>
      <c r="B59" s="140">
        <v>55313</v>
      </c>
    </row>
    <row r="60" spans="1:2" x14ac:dyDescent="0.35">
      <c r="A60" s="139">
        <v>3</v>
      </c>
      <c r="B60" s="140">
        <v>55420</v>
      </c>
    </row>
    <row r="61" spans="1:2" x14ac:dyDescent="0.35">
      <c r="A61" s="139">
        <v>3</v>
      </c>
      <c r="B61" s="140">
        <v>59173</v>
      </c>
    </row>
    <row r="62" spans="1:2" x14ac:dyDescent="0.35">
      <c r="A62" s="139">
        <v>4</v>
      </c>
      <c r="B62" s="140">
        <v>99367</v>
      </c>
    </row>
    <row r="63" spans="1:2" x14ac:dyDescent="0.35">
      <c r="A63" s="139">
        <v>4</v>
      </c>
      <c r="B63" s="140">
        <v>103749</v>
      </c>
    </row>
    <row r="64" spans="1:2" x14ac:dyDescent="0.35">
      <c r="A64" s="139">
        <v>5</v>
      </c>
      <c r="B64" s="140">
        <v>127272</v>
      </c>
    </row>
    <row r="65" spans="1:2" x14ac:dyDescent="0.35">
      <c r="A65" s="139">
        <v>5</v>
      </c>
      <c r="B65" s="140">
        <v>153446</v>
      </c>
    </row>
  </sheetData>
  <sortState xmlns:xlrd2="http://schemas.microsoft.com/office/spreadsheetml/2017/richdata2" ref="B2:B65">
    <sortCondition ref="B2:B65"/>
  </sortState>
  <mergeCells count="1">
    <mergeCell ref="D2:K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H27" sqref="H27"/>
    </sheetView>
  </sheetViews>
  <sheetFormatPr baseColWidth="10" defaultRowHeight="12.75" x14ac:dyDescent="0.35"/>
  <cols>
    <col min="2" max="2" width="6.6640625" customWidth="1"/>
    <col min="3" max="3" width="18.86328125" customWidth="1"/>
    <col min="5" max="5" width="2" customWidth="1"/>
    <col min="6" max="6" width="2.53125" customWidth="1"/>
    <col min="9" max="9" width="27.46484375" customWidth="1"/>
  </cols>
  <sheetData>
    <row r="1" spans="1:9" ht="13.15" x14ac:dyDescent="0.4">
      <c r="A1" s="2" t="s">
        <v>160</v>
      </c>
      <c r="B1" s="2"/>
      <c r="C1" s="2"/>
      <c r="D1" s="2" t="s">
        <v>161</v>
      </c>
    </row>
    <row r="3" spans="1:9" ht="14.25" thickBot="1" x14ac:dyDescent="0.45">
      <c r="C3" s="57" t="s">
        <v>135</v>
      </c>
      <c r="D3" s="57"/>
      <c r="E3" s="57" t="s">
        <v>136</v>
      </c>
      <c r="F3" s="57" t="s">
        <v>141</v>
      </c>
      <c r="G3" s="57" t="s">
        <v>130</v>
      </c>
      <c r="H3" s="87" t="s">
        <v>136</v>
      </c>
      <c r="I3" s="87" t="s">
        <v>141</v>
      </c>
    </row>
    <row r="4" spans="1:9" ht="14.25" x14ac:dyDescent="0.45">
      <c r="A4" s="56">
        <f ca="1">RAND()</f>
        <v>0.44975305578108404</v>
      </c>
      <c r="B4" s="3">
        <f t="shared" ref="B4:B19" ca="1" si="0">RANK(A4,$A$4:$A$21,1)</f>
        <v>8</v>
      </c>
      <c r="C4" s="58" t="s">
        <v>144</v>
      </c>
      <c r="D4" s="3">
        <v>1</v>
      </c>
      <c r="E4" s="185" t="s">
        <v>138</v>
      </c>
      <c r="F4" s="57" t="s">
        <v>141</v>
      </c>
      <c r="G4" s="57" t="s">
        <v>130</v>
      </c>
      <c r="H4" s="185" t="s">
        <v>138</v>
      </c>
      <c r="I4" s="69" t="s">
        <v>145</v>
      </c>
    </row>
    <row r="5" spans="1:9" ht="14.25" x14ac:dyDescent="0.45">
      <c r="A5" s="56">
        <f t="shared" ref="A5:A21" ca="1" si="1">RAND()</f>
        <v>0.82314109796437529</v>
      </c>
      <c r="B5" s="3">
        <f t="shared" ca="1" si="0"/>
        <v>15</v>
      </c>
      <c r="C5" s="58" t="s">
        <v>145</v>
      </c>
      <c r="D5" s="3">
        <v>2</v>
      </c>
      <c r="E5" s="186"/>
      <c r="F5" s="57" t="s">
        <v>141</v>
      </c>
      <c r="G5" s="57" t="s">
        <v>130</v>
      </c>
      <c r="H5" s="186"/>
      <c r="I5" s="70" t="s">
        <v>152</v>
      </c>
    </row>
    <row r="6" spans="1:9" ht="14.65" thickBot="1" x14ac:dyDescent="0.5">
      <c r="A6" s="56">
        <f ca="1">RAND()</f>
        <v>5.3573416029292442E-2</v>
      </c>
      <c r="B6" s="3">
        <f t="shared" ca="1" si="0"/>
        <v>1</v>
      </c>
      <c r="C6" s="58" t="s">
        <v>146</v>
      </c>
      <c r="D6" s="3">
        <v>3</v>
      </c>
      <c r="E6" s="187"/>
      <c r="F6" s="57" t="s">
        <v>141</v>
      </c>
      <c r="G6" s="57" t="s">
        <v>130</v>
      </c>
      <c r="H6" s="187"/>
      <c r="I6" s="71" t="s">
        <v>153</v>
      </c>
    </row>
    <row r="7" spans="1:9" ht="14.25" x14ac:dyDescent="0.45">
      <c r="A7" s="56">
        <f t="shared" ca="1" si="1"/>
        <v>7.4483265962191236E-2</v>
      </c>
      <c r="B7" s="3">
        <f t="shared" ca="1" si="0"/>
        <v>2</v>
      </c>
      <c r="C7" s="58" t="s">
        <v>147</v>
      </c>
      <c r="D7" s="3">
        <v>4</v>
      </c>
      <c r="E7" s="188" t="s">
        <v>142</v>
      </c>
      <c r="F7" s="57" t="s">
        <v>141</v>
      </c>
      <c r="G7" s="57" t="s">
        <v>130</v>
      </c>
      <c r="H7" s="188" t="s">
        <v>142</v>
      </c>
      <c r="I7" s="72" t="s">
        <v>162</v>
      </c>
    </row>
    <row r="8" spans="1:9" ht="14.25" x14ac:dyDescent="0.45">
      <c r="A8" s="56">
        <f t="shared" ca="1" si="1"/>
        <v>0.20587822032455461</v>
      </c>
      <c r="B8" s="3">
        <f t="shared" ca="1" si="0"/>
        <v>5</v>
      </c>
      <c r="C8" s="58" t="s">
        <v>148</v>
      </c>
      <c r="D8" s="3">
        <v>5</v>
      </c>
      <c r="E8" s="189"/>
      <c r="F8" s="57" t="s">
        <v>141</v>
      </c>
      <c r="G8" s="57" t="s">
        <v>130</v>
      </c>
      <c r="H8" s="189"/>
      <c r="I8" s="73" t="s">
        <v>151</v>
      </c>
    </row>
    <row r="9" spans="1:9" ht="14.65" thickBot="1" x14ac:dyDescent="0.5">
      <c r="A9" s="56">
        <f t="shared" ca="1" si="1"/>
        <v>0.14230637181729522</v>
      </c>
      <c r="B9" s="3">
        <f t="shared" ca="1" si="0"/>
        <v>4</v>
      </c>
      <c r="C9" s="58" t="s">
        <v>149</v>
      </c>
      <c r="D9" s="3">
        <v>6</v>
      </c>
      <c r="E9" s="190"/>
      <c r="F9" s="57" t="s">
        <v>141</v>
      </c>
      <c r="G9" s="57" t="s">
        <v>130</v>
      </c>
      <c r="H9" s="190"/>
      <c r="I9" s="74" t="s">
        <v>147</v>
      </c>
    </row>
    <row r="10" spans="1:9" ht="14.25" x14ac:dyDescent="0.45">
      <c r="A10" s="56">
        <f t="shared" ca="1" si="1"/>
        <v>0.44603025033834287</v>
      </c>
      <c r="B10" s="3">
        <f t="shared" ca="1" si="0"/>
        <v>7</v>
      </c>
      <c r="C10" s="58" t="s">
        <v>150</v>
      </c>
      <c r="D10" s="3">
        <v>7</v>
      </c>
      <c r="E10" s="191" t="s">
        <v>139</v>
      </c>
      <c r="F10" s="57" t="s">
        <v>141</v>
      </c>
      <c r="G10" s="57" t="s">
        <v>130</v>
      </c>
      <c r="H10" s="191" t="s">
        <v>139</v>
      </c>
      <c r="I10" s="75" t="s">
        <v>144</v>
      </c>
    </row>
    <row r="11" spans="1:9" ht="14.25" x14ac:dyDescent="0.45">
      <c r="A11" s="56">
        <f ca="1">RAND()</f>
        <v>0.78801486491691886</v>
      </c>
      <c r="B11" s="3">
        <f t="shared" ca="1" si="0"/>
        <v>13</v>
      </c>
      <c r="C11" s="58" t="s">
        <v>151</v>
      </c>
      <c r="D11" s="3">
        <v>8</v>
      </c>
      <c r="E11" s="192"/>
      <c r="F11" s="57" t="s">
        <v>141</v>
      </c>
      <c r="G11" s="57" t="s">
        <v>130</v>
      </c>
      <c r="H11" s="192"/>
      <c r="I11" s="76" t="s">
        <v>155</v>
      </c>
    </row>
    <row r="12" spans="1:9" ht="14.65" thickBot="1" x14ac:dyDescent="0.5">
      <c r="A12" s="56">
        <f ca="1">RAND()</f>
        <v>0.52362510967034015</v>
      </c>
      <c r="B12" s="3">
        <f t="shared" ca="1" si="0"/>
        <v>10</v>
      </c>
      <c r="C12" s="58" t="s">
        <v>152</v>
      </c>
      <c r="D12" s="3">
        <v>9</v>
      </c>
      <c r="E12" s="193"/>
      <c r="F12" s="57" t="s">
        <v>141</v>
      </c>
      <c r="G12" s="57" t="s">
        <v>130</v>
      </c>
      <c r="H12" s="193"/>
      <c r="I12" s="77" t="s">
        <v>150</v>
      </c>
    </row>
    <row r="13" spans="1:9" ht="14.25" x14ac:dyDescent="0.45">
      <c r="A13" s="56">
        <f t="shared" ca="1" si="1"/>
        <v>0.92960260216276969</v>
      </c>
      <c r="B13" s="3">
        <f t="shared" ca="1" si="0"/>
        <v>18</v>
      </c>
      <c r="C13" s="58" t="s">
        <v>153</v>
      </c>
      <c r="D13" s="3">
        <v>10</v>
      </c>
      <c r="E13" s="194" t="s">
        <v>137</v>
      </c>
      <c r="F13" s="57" t="s">
        <v>141</v>
      </c>
      <c r="G13" s="57" t="s">
        <v>130</v>
      </c>
      <c r="H13" s="194" t="s">
        <v>137</v>
      </c>
      <c r="I13" s="78" t="s">
        <v>146</v>
      </c>
    </row>
    <row r="14" spans="1:9" ht="14.25" x14ac:dyDescent="0.45">
      <c r="A14" s="56">
        <f t="shared" ca="1" si="1"/>
        <v>0.82126439693915432</v>
      </c>
      <c r="B14" s="3">
        <f t="shared" ca="1" si="0"/>
        <v>14</v>
      </c>
      <c r="C14" s="58" t="s">
        <v>154</v>
      </c>
      <c r="D14" s="3">
        <v>11</v>
      </c>
      <c r="E14" s="195"/>
      <c r="F14" s="57" t="s">
        <v>141</v>
      </c>
      <c r="G14" s="57" t="s">
        <v>130</v>
      </c>
      <c r="H14" s="195"/>
      <c r="I14" s="79" t="s">
        <v>149</v>
      </c>
    </row>
    <row r="15" spans="1:9" ht="14.65" thickBot="1" x14ac:dyDescent="0.5">
      <c r="A15" s="56">
        <f t="shared" ca="1" si="1"/>
        <v>0.26289125251347822</v>
      </c>
      <c r="B15" s="3">
        <f t="shared" ca="1" si="0"/>
        <v>6</v>
      </c>
      <c r="C15" s="58" t="s">
        <v>155</v>
      </c>
      <c r="D15" s="3">
        <v>12</v>
      </c>
      <c r="E15" s="196"/>
      <c r="F15" s="57" t="s">
        <v>141</v>
      </c>
      <c r="G15" s="57" t="s">
        <v>130</v>
      </c>
      <c r="H15" s="196"/>
      <c r="I15" s="80" t="s">
        <v>154</v>
      </c>
    </row>
    <row r="16" spans="1:9" ht="14.25" x14ac:dyDescent="0.45">
      <c r="A16" s="56">
        <f t="shared" ca="1" si="1"/>
        <v>8.5785940903471247E-2</v>
      </c>
      <c r="B16" s="3">
        <f t="shared" ca="1" si="0"/>
        <v>3</v>
      </c>
      <c r="C16" s="58" t="s">
        <v>156</v>
      </c>
      <c r="D16" s="3">
        <v>13</v>
      </c>
      <c r="E16" s="197" t="s">
        <v>140</v>
      </c>
      <c r="F16" s="57" t="s">
        <v>141</v>
      </c>
      <c r="G16" s="57" t="s">
        <v>130</v>
      </c>
      <c r="H16" s="197" t="s">
        <v>140</v>
      </c>
      <c r="I16" s="81" t="s">
        <v>159</v>
      </c>
    </row>
    <row r="17" spans="1:9" ht="14.25" x14ac:dyDescent="0.45">
      <c r="A17" s="56">
        <f t="shared" ca="1" si="1"/>
        <v>0.53842824728169592</v>
      </c>
      <c r="B17" s="3">
        <f t="shared" ca="1" si="0"/>
        <v>11</v>
      </c>
      <c r="C17" s="58" t="s">
        <v>157</v>
      </c>
      <c r="D17" s="3">
        <v>14</v>
      </c>
      <c r="E17" s="198"/>
      <c r="F17" s="57" t="s">
        <v>141</v>
      </c>
      <c r="G17" s="57" t="s">
        <v>130</v>
      </c>
      <c r="H17" s="198"/>
      <c r="I17" s="82" t="s">
        <v>156</v>
      </c>
    </row>
    <row r="18" spans="1:9" ht="14.65" thickBot="1" x14ac:dyDescent="0.5">
      <c r="A18" s="56">
        <f t="shared" ca="1" si="1"/>
        <v>0.48262383952080357</v>
      </c>
      <c r="B18" s="3">
        <f t="shared" ca="1" si="0"/>
        <v>9</v>
      </c>
      <c r="C18" s="58" t="s">
        <v>158</v>
      </c>
      <c r="D18" s="3">
        <v>15</v>
      </c>
      <c r="E18" s="199"/>
      <c r="F18" s="57" t="s">
        <v>141</v>
      </c>
      <c r="G18" s="57" t="s">
        <v>130</v>
      </c>
      <c r="H18" s="199"/>
      <c r="I18" s="82" t="s">
        <v>157</v>
      </c>
    </row>
    <row r="19" spans="1:9" ht="14.25" x14ac:dyDescent="0.45">
      <c r="A19" s="56">
        <f t="shared" ca="1" si="1"/>
        <v>0.88446537060474339</v>
      </c>
      <c r="B19" s="3">
        <f t="shared" ca="1" si="0"/>
        <v>17</v>
      </c>
      <c r="C19" s="58" t="s">
        <v>159</v>
      </c>
      <c r="D19" s="3">
        <v>16</v>
      </c>
      <c r="E19" s="182" t="s">
        <v>9</v>
      </c>
      <c r="F19" s="57" t="s">
        <v>141</v>
      </c>
      <c r="G19" s="57" t="s">
        <v>130</v>
      </c>
      <c r="H19" s="182" t="s">
        <v>9</v>
      </c>
      <c r="I19" s="83" t="s">
        <v>158</v>
      </c>
    </row>
    <row r="20" spans="1:9" ht="14.25" x14ac:dyDescent="0.45">
      <c r="A20" s="56">
        <f t="shared" ca="1" si="1"/>
        <v>0.85482953998196209</v>
      </c>
      <c r="B20" s="3">
        <f t="shared" ref="B20:B21" ca="1" si="2">RANK(A20,$A$4:$A$21,1)</f>
        <v>16</v>
      </c>
      <c r="C20" s="68" t="s">
        <v>163</v>
      </c>
      <c r="D20" s="3">
        <v>17</v>
      </c>
      <c r="E20" s="183"/>
      <c r="F20" s="57" t="s">
        <v>141</v>
      </c>
      <c r="G20" s="57" t="s">
        <v>130</v>
      </c>
      <c r="H20" s="183"/>
      <c r="I20" s="84" t="s">
        <v>163</v>
      </c>
    </row>
    <row r="21" spans="1:9" ht="14.65" thickBot="1" x14ac:dyDescent="0.5">
      <c r="A21" s="56">
        <f t="shared" ca="1" si="1"/>
        <v>0.73920027543977918</v>
      </c>
      <c r="B21" s="3">
        <f t="shared" ca="1" si="2"/>
        <v>12</v>
      </c>
      <c r="C21" s="88" t="s">
        <v>162</v>
      </c>
      <c r="D21" s="3">
        <v>18</v>
      </c>
      <c r="E21" s="184"/>
      <c r="F21" s="57" t="s">
        <v>141</v>
      </c>
      <c r="G21" s="57" t="s">
        <v>130</v>
      </c>
      <c r="H21" s="184"/>
      <c r="I21" s="85" t="s">
        <v>148</v>
      </c>
    </row>
    <row r="22" spans="1:9" x14ac:dyDescent="0.35">
      <c r="A22" s="56"/>
      <c r="B22" s="3"/>
    </row>
    <row r="23" spans="1:9" x14ac:dyDescent="0.35">
      <c r="A23" s="56"/>
      <c r="B23" s="3"/>
      <c r="C23" s="86"/>
    </row>
    <row r="24" spans="1:9" x14ac:dyDescent="0.35">
      <c r="A24" s="56"/>
      <c r="B24" s="3"/>
    </row>
    <row r="25" spans="1:9" x14ac:dyDescent="0.35">
      <c r="A25" s="56"/>
      <c r="B25" s="3"/>
    </row>
    <row r="26" spans="1:9" x14ac:dyDescent="0.35">
      <c r="A26" s="56"/>
      <c r="B26" s="3"/>
    </row>
    <row r="27" spans="1:9" x14ac:dyDescent="0.35">
      <c r="A27" s="56"/>
      <c r="B27" s="3"/>
    </row>
    <row r="28" spans="1:9" x14ac:dyDescent="0.35">
      <c r="A28" s="56"/>
      <c r="B28" s="3"/>
    </row>
    <row r="29" spans="1:9" x14ac:dyDescent="0.35">
      <c r="A29" s="56"/>
      <c r="B29" s="3"/>
    </row>
    <row r="30" spans="1:9" x14ac:dyDescent="0.35">
      <c r="A30" s="56"/>
      <c r="B30" s="3"/>
    </row>
  </sheetData>
  <mergeCells count="12">
    <mergeCell ref="E19:E21"/>
    <mergeCell ref="H4:H6"/>
    <mergeCell ref="H7:H9"/>
    <mergeCell ref="H10:H12"/>
    <mergeCell ref="H13:H15"/>
    <mergeCell ref="H16:H18"/>
    <mergeCell ref="H19:H21"/>
    <mergeCell ref="E4:E6"/>
    <mergeCell ref="E7:E9"/>
    <mergeCell ref="E10:E12"/>
    <mergeCell ref="E13:E15"/>
    <mergeCell ref="E16:E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19D2-D633-4889-9712-82EE5535DB8A}">
  <dimension ref="A1:D8"/>
  <sheetViews>
    <sheetView workbookViewId="0">
      <selection activeCell="B2" sqref="B2"/>
    </sheetView>
  </sheetViews>
  <sheetFormatPr baseColWidth="10" defaultRowHeight="12.75" x14ac:dyDescent="0.35"/>
  <cols>
    <col min="4" max="4" width="14.86328125" customWidth="1"/>
  </cols>
  <sheetData>
    <row r="1" spans="1:4" ht="13.9" thickTop="1" thickBot="1" x14ac:dyDescent="0.45">
      <c r="A1" s="200" t="s">
        <v>187</v>
      </c>
      <c r="B1" s="201"/>
      <c r="C1" s="201"/>
      <c r="D1" s="202"/>
    </row>
    <row r="2" spans="1:4" ht="13.9" thickTop="1" thickBot="1" x14ac:dyDescent="0.45">
      <c r="A2" s="124" t="s">
        <v>179</v>
      </c>
      <c r="B2" s="124" t="s">
        <v>9</v>
      </c>
      <c r="C2" s="124" t="s">
        <v>8</v>
      </c>
      <c r="D2" s="124" t="s">
        <v>174</v>
      </c>
    </row>
    <row r="3" spans="1:4" ht="13.15" thickBot="1" x14ac:dyDescent="0.4">
      <c r="A3" s="105">
        <v>1</v>
      </c>
      <c r="B3" s="106">
        <f>COUNTIFS(Données!$F$4:$F$67,$A3,Données!$C$4:$C$67,B$2)</f>
        <v>13</v>
      </c>
      <c r="C3" s="106">
        <f>COUNTIFS(Données!$F$4:$F$67,$A3,Données!$C$4:$C$67,C$2)</f>
        <v>15</v>
      </c>
      <c r="D3" s="106">
        <f>SUM(B3:C3)</f>
        <v>28</v>
      </c>
    </row>
    <row r="4" spans="1:4" ht="13.15" thickBot="1" x14ac:dyDescent="0.4">
      <c r="A4" s="105">
        <v>2</v>
      </c>
      <c r="B4" s="106">
        <f>COUNTIFS(Données!$F$4:$F$67,$A4,Données!$C$4:$C$67,B$2)</f>
        <v>11</v>
      </c>
      <c r="C4" s="106">
        <f>COUNTIFS(Données!$F$4:$F$67,$A4,Données!$C$4:$C$67,C$2)</f>
        <v>8</v>
      </c>
      <c r="D4" s="106">
        <f>SUM(B4:C4)</f>
        <v>19</v>
      </c>
    </row>
    <row r="5" spans="1:4" ht="13.15" thickBot="1" x14ac:dyDescent="0.4">
      <c r="A5" s="105">
        <v>3</v>
      </c>
      <c r="B5" s="106">
        <f>COUNTIFS(Données!$F$4:$F$67,$A5,Données!$C$4:$C$67,B$2)</f>
        <v>4</v>
      </c>
      <c r="C5" s="106">
        <f>COUNTIFS(Données!$F$4:$F$67,$A5,Données!$C$4:$C$67,C$2)</f>
        <v>9</v>
      </c>
      <c r="D5" s="106">
        <f>SUM(B5:C5)</f>
        <v>13</v>
      </c>
    </row>
    <row r="6" spans="1:4" ht="13.15" thickBot="1" x14ac:dyDescent="0.4">
      <c r="A6" s="107">
        <v>4</v>
      </c>
      <c r="B6" s="108">
        <f>COUNTIFS(Données!$F$4:$F$67,$A6,Données!$C$4:$C$67,B$2)</f>
        <v>1</v>
      </c>
      <c r="C6" s="108">
        <f>COUNTIFS(Données!$F$4:$F$67,$A6,Données!$C$4:$C$67,C$2)</f>
        <v>3</v>
      </c>
      <c r="D6" s="108">
        <f>SUM(B6:C6)</f>
        <v>4</v>
      </c>
    </row>
    <row r="7" spans="1:4" ht="13.15" thickTop="1" x14ac:dyDescent="0.35"/>
    <row r="8" spans="1:4" x14ac:dyDescent="0.35">
      <c r="D8">
        <f>SUM(D3:D7)</f>
        <v>64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6CEE-45D7-44BE-835F-A6F4498D812C}">
  <dimension ref="A1:H10"/>
  <sheetViews>
    <sheetView workbookViewId="0">
      <selection activeCell="G7" sqref="G7:H9"/>
    </sheetView>
  </sheetViews>
  <sheetFormatPr baseColWidth="10" defaultRowHeight="12.75" x14ac:dyDescent="0.35"/>
  <cols>
    <col min="1" max="1" width="16.796875" customWidth="1"/>
    <col min="2" max="2" width="22.9296875" customWidth="1"/>
    <col min="5" max="5" width="18.1328125" customWidth="1"/>
    <col min="6" max="6" width="18.9296875" customWidth="1"/>
    <col min="7" max="7" width="16.19921875" customWidth="1"/>
    <col min="8" max="8" width="19.265625" customWidth="1"/>
  </cols>
  <sheetData>
    <row r="1" spans="1:8" ht="13.9" thickTop="1" thickBot="1" x14ac:dyDescent="0.45">
      <c r="A1" s="203" t="s">
        <v>201</v>
      </c>
      <c r="B1" s="204"/>
      <c r="E1" s="93" t="s">
        <v>173</v>
      </c>
      <c r="F1" t="s">
        <v>175</v>
      </c>
    </row>
    <row r="2" spans="1:8" ht="13.9" thickTop="1" thickBot="1" x14ac:dyDescent="0.45">
      <c r="A2" s="120" t="s">
        <v>5</v>
      </c>
      <c r="B2" s="104" t="s">
        <v>200</v>
      </c>
      <c r="E2" s="94" t="s">
        <v>9</v>
      </c>
      <c r="F2">
        <v>29</v>
      </c>
    </row>
    <row r="3" spans="1:8" ht="13.15" thickTop="1" x14ac:dyDescent="0.35">
      <c r="A3" s="102" t="s">
        <v>169</v>
      </c>
      <c r="B3" s="103">
        <f>COUNTIF(Données!$F$4:F67,1)</f>
        <v>28</v>
      </c>
      <c r="E3" s="94" t="s">
        <v>8</v>
      </c>
      <c r="F3">
        <v>35</v>
      </c>
    </row>
    <row r="4" spans="1:8" x14ac:dyDescent="0.35">
      <c r="A4" s="97" t="s">
        <v>170</v>
      </c>
      <c r="B4" s="100">
        <f>COUNTIF(Données!$F$4:F68,2)</f>
        <v>19</v>
      </c>
      <c r="E4" s="94" t="s">
        <v>174</v>
      </c>
      <c r="F4">
        <v>64</v>
      </c>
    </row>
    <row r="5" spans="1:8" x14ac:dyDescent="0.35">
      <c r="A5" s="98" t="s">
        <v>171</v>
      </c>
      <c r="B5" s="100">
        <f>COUNTIF(Données!$F$4:F69,3)</f>
        <v>14</v>
      </c>
    </row>
    <row r="6" spans="1:8" ht="13.15" thickBot="1" x14ac:dyDescent="0.4">
      <c r="A6" s="98" t="s">
        <v>172</v>
      </c>
      <c r="B6" s="100">
        <f>COUNTIF(Données!$F$4:F70,4)</f>
        <v>4</v>
      </c>
    </row>
    <row r="7" spans="1:8" ht="13.9" thickTop="1" thickBot="1" x14ac:dyDescent="0.45">
      <c r="G7" s="203" t="s">
        <v>241</v>
      </c>
      <c r="H7" s="204"/>
    </row>
    <row r="8" spans="1:8" ht="13.15" thickTop="1" x14ac:dyDescent="0.35">
      <c r="G8" s="98" t="s">
        <v>167</v>
      </c>
      <c r="H8" s="100">
        <f>COUNTIF(Données!$I$4:I67,100%)</f>
        <v>54</v>
      </c>
    </row>
    <row r="9" spans="1:8" ht="13.15" thickBot="1" x14ac:dyDescent="0.4">
      <c r="G9" s="99" t="s">
        <v>168</v>
      </c>
      <c r="H9" s="101">
        <f>COUNTIF(Données!$I$4:I68,"&lt;1")</f>
        <v>10</v>
      </c>
    </row>
    <row r="10" spans="1:8" ht="13.15" thickTop="1" x14ac:dyDescent="0.35">
      <c r="B10">
        <f>SUM(H8:H9)</f>
        <v>64</v>
      </c>
    </row>
  </sheetData>
  <mergeCells count="2">
    <mergeCell ref="A1:B1"/>
    <mergeCell ref="G7:H7"/>
  </mergeCells>
  <pageMargins left="0.7" right="0.7" top="0.75" bottom="0.75" header="0.3" footer="0.3"/>
  <pageSetup paperSize="9" orientation="portrait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F545-5AB4-4817-A303-455312F8C83D}">
  <dimension ref="A1:E6"/>
  <sheetViews>
    <sheetView workbookViewId="0">
      <selection activeCell="G7" sqref="G7"/>
    </sheetView>
  </sheetViews>
  <sheetFormatPr baseColWidth="10" defaultRowHeight="12.75" x14ac:dyDescent="0.35"/>
  <cols>
    <col min="2" max="2" width="12.73046875" customWidth="1"/>
    <col min="5" max="5" width="12.9296875" customWidth="1"/>
  </cols>
  <sheetData>
    <row r="1" spans="1:5" ht="13.9" thickTop="1" thickBot="1" x14ac:dyDescent="0.45">
      <c r="A1" s="205" t="s">
        <v>188</v>
      </c>
      <c r="B1" s="206"/>
      <c r="C1" s="206"/>
      <c r="D1" s="206"/>
      <c r="E1" s="207"/>
    </row>
    <row r="2" spans="1:5" ht="13.9" thickTop="1" thickBot="1" x14ac:dyDescent="0.45">
      <c r="A2" s="123"/>
      <c r="B2" s="123" t="s">
        <v>204</v>
      </c>
      <c r="C2" s="123" t="s">
        <v>9</v>
      </c>
      <c r="D2" s="123" t="s">
        <v>8</v>
      </c>
      <c r="E2" s="123" t="s">
        <v>174</v>
      </c>
    </row>
    <row r="3" spans="1:5" ht="13.15" thickTop="1" x14ac:dyDescent="0.35">
      <c r="A3" s="110">
        <v>1</v>
      </c>
      <c r="B3" s="103" t="s">
        <v>203</v>
      </c>
      <c r="C3" s="103">
        <f>COUNTIFS(Données!$I$4:$I$67,$A3,Données!$C$4:$C$67,C$2)</f>
        <v>25</v>
      </c>
      <c r="D3" s="103">
        <f>COUNTIFS(Données!$I$4:$I$67,$A3,Données!$C$4:$C$67,D$2)</f>
        <v>29</v>
      </c>
      <c r="E3" s="103">
        <f>SUM(C3:D3)</f>
        <v>54</v>
      </c>
    </row>
    <row r="4" spans="1:5" ht="13.15" thickBot="1" x14ac:dyDescent="0.4">
      <c r="A4" s="109" t="s">
        <v>186</v>
      </c>
      <c r="B4" s="101" t="s">
        <v>202</v>
      </c>
      <c r="C4" s="101">
        <f>COUNTIFS(Données!$I$4:$I$67,$A4,Données!$C$4:$C$67,C$2)</f>
        <v>4</v>
      </c>
      <c r="D4" s="101">
        <f>COUNTIFS(Données!$I$4:$I$67,$A4,Données!$C$4:$C$67,D$2)</f>
        <v>6</v>
      </c>
      <c r="E4" s="101">
        <f>SUM(C4:D4)</f>
        <v>10</v>
      </c>
    </row>
    <row r="5" spans="1:5" ht="13.15" thickTop="1" x14ac:dyDescent="0.35"/>
    <row r="6" spans="1:5" x14ac:dyDescent="0.35">
      <c r="E6">
        <f>SUM(E3:E5)</f>
        <v>64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12E8-8C1F-4246-9235-05C14742097C}">
  <dimension ref="A1:M9"/>
  <sheetViews>
    <sheetView tabSelected="1" workbookViewId="0">
      <selection activeCell="H29" sqref="H29"/>
    </sheetView>
  </sheetViews>
  <sheetFormatPr baseColWidth="10" defaultRowHeight="12.75" x14ac:dyDescent="0.35"/>
  <cols>
    <col min="3" max="3" width="17" customWidth="1"/>
    <col min="6" max="6" width="14.33203125" customWidth="1"/>
    <col min="10" max="10" width="16.265625" customWidth="1"/>
  </cols>
  <sheetData>
    <row r="1" spans="1:13" ht="13.9" thickTop="1" thickBot="1" x14ac:dyDescent="0.45">
      <c r="A1" s="208" t="s">
        <v>191</v>
      </c>
      <c r="B1" s="209"/>
      <c r="C1" s="209"/>
      <c r="D1" s="209"/>
      <c r="E1" s="209"/>
      <c r="F1" s="210"/>
      <c r="J1" s="208" t="s">
        <v>217</v>
      </c>
      <c r="K1" s="209"/>
      <c r="L1" s="209"/>
      <c r="M1" s="210"/>
    </row>
    <row r="2" spans="1:13" ht="13.9" thickTop="1" thickBot="1" x14ac:dyDescent="0.45">
      <c r="A2" s="121" t="s">
        <v>179</v>
      </c>
      <c r="B2" s="122" t="s">
        <v>189</v>
      </c>
      <c r="C2" s="122" t="s">
        <v>190</v>
      </c>
      <c r="D2" s="122" t="s">
        <v>9</v>
      </c>
      <c r="E2" s="122" t="s">
        <v>8</v>
      </c>
      <c r="F2" s="122" t="s">
        <v>174</v>
      </c>
      <c r="J2" s="122"/>
      <c r="K2" s="122" t="s">
        <v>8</v>
      </c>
      <c r="L2" s="122" t="s">
        <v>9</v>
      </c>
      <c r="M2" s="122" t="s">
        <v>9</v>
      </c>
    </row>
    <row r="3" spans="1:13" ht="13.15" thickTop="1" x14ac:dyDescent="0.35">
      <c r="A3" s="103">
        <v>1</v>
      </c>
      <c r="B3" s="103">
        <v>26</v>
      </c>
      <c r="C3" s="114" t="s">
        <v>181</v>
      </c>
      <c r="D3" s="103">
        <f>COUNTIFS(Données!$N$4:$N$67,$A3,Données!$C$4:$C$67,D$2)</f>
        <v>3</v>
      </c>
      <c r="E3" s="103">
        <f>COUNTIFS(Données!$N$4:$N$67,$A3,Données!$C$4:$C$67,E$2)</f>
        <v>2</v>
      </c>
      <c r="F3" s="103">
        <f>SUM(D3:E3)</f>
        <v>5</v>
      </c>
      <c r="J3" s="114" t="s">
        <v>181</v>
      </c>
      <c r="K3" s="103">
        <f>E3</f>
        <v>2</v>
      </c>
      <c r="L3" s="103">
        <f>D3</f>
        <v>3</v>
      </c>
      <c r="M3" s="103">
        <f>0-L3</f>
        <v>-3</v>
      </c>
    </row>
    <row r="4" spans="1:13" x14ac:dyDescent="0.35">
      <c r="A4" s="100">
        <v>2</v>
      </c>
      <c r="B4" s="100">
        <v>36</v>
      </c>
      <c r="C4" s="111" t="s">
        <v>182</v>
      </c>
      <c r="D4" s="103">
        <f>COUNTIFS(Données!$N$4:$N$67,$A4,Données!$C$4:$C$67,D$2)</f>
        <v>8</v>
      </c>
      <c r="E4" s="103">
        <f>COUNTIFS(Données!$N$4:$N$67,$A4,Données!$C$4:$C$67,E$2)</f>
        <v>15</v>
      </c>
      <c r="F4" s="103">
        <f>SUM(D4:E4)</f>
        <v>23</v>
      </c>
      <c r="J4" s="111" t="s">
        <v>182</v>
      </c>
      <c r="K4" s="103">
        <f t="shared" ref="K4:K7" si="0">E4</f>
        <v>15</v>
      </c>
      <c r="L4" s="103">
        <f t="shared" ref="L4:L7" si="1">D4</f>
        <v>8</v>
      </c>
      <c r="M4" s="103">
        <f>0-L4</f>
        <v>-8</v>
      </c>
    </row>
    <row r="5" spans="1:13" x14ac:dyDescent="0.35">
      <c r="A5" s="100">
        <v>3</v>
      </c>
      <c r="B5" s="100">
        <v>41</v>
      </c>
      <c r="C5" s="111" t="s">
        <v>183</v>
      </c>
      <c r="D5" s="103">
        <f>COUNTIFS(Données!$N$4:$N$67,$A5,Données!$C$4:$C$67,D$2)</f>
        <v>3</v>
      </c>
      <c r="E5" s="103">
        <f>COUNTIFS(Données!$N$4:$N$67,$A5,Données!$C$4:$C$67,E$2)</f>
        <v>9</v>
      </c>
      <c r="F5" s="103">
        <f>SUM(D5:E5)</f>
        <v>12</v>
      </c>
      <c r="J5" s="111" t="s">
        <v>183</v>
      </c>
      <c r="K5" s="103">
        <f t="shared" si="0"/>
        <v>9</v>
      </c>
      <c r="L5" s="103">
        <f t="shared" si="1"/>
        <v>3</v>
      </c>
      <c r="M5" s="103">
        <f>0-L5</f>
        <v>-3</v>
      </c>
    </row>
    <row r="6" spans="1:13" x14ac:dyDescent="0.35">
      <c r="A6" s="100">
        <v>4</v>
      </c>
      <c r="B6" s="100">
        <v>56</v>
      </c>
      <c r="C6" s="111" t="s">
        <v>184</v>
      </c>
      <c r="D6" s="103">
        <f>COUNTIFS(Données!$N$4:$N$67,$A6,Données!$C$4:$C$67,D$2)</f>
        <v>1</v>
      </c>
      <c r="E6" s="103">
        <f>COUNTIFS(Données!$N$4:$N$67,$A6,Données!$C$4:$C$67,E$2)</f>
        <v>0</v>
      </c>
      <c r="F6" s="103">
        <f>SUM(D6:E6)</f>
        <v>1</v>
      </c>
      <c r="J6" s="111" t="s">
        <v>184</v>
      </c>
      <c r="K6" s="103">
        <f t="shared" si="0"/>
        <v>0</v>
      </c>
      <c r="L6" s="103">
        <f t="shared" si="1"/>
        <v>1</v>
      </c>
      <c r="M6" s="103">
        <f>0-L6</f>
        <v>-1</v>
      </c>
    </row>
    <row r="7" spans="1:13" ht="13.15" thickBot="1" x14ac:dyDescent="0.4">
      <c r="A7" s="101">
        <v>5</v>
      </c>
      <c r="B7" s="112"/>
      <c r="C7" s="113" t="s">
        <v>185</v>
      </c>
      <c r="D7" s="101">
        <f>COUNTIFS(Données!$N$4:$N$67,$A7,Données!$C$4:$C$67,D$2)</f>
        <v>14</v>
      </c>
      <c r="E7" s="101">
        <f>COUNTIFS(Données!$N$4:$N$67,$A7,Données!$C$4:$C$67,E$2)</f>
        <v>9</v>
      </c>
      <c r="F7" s="101">
        <f>SUM(D7:E7)</f>
        <v>23</v>
      </c>
      <c r="J7" s="113" t="s">
        <v>185</v>
      </c>
      <c r="K7" s="101">
        <f t="shared" si="0"/>
        <v>9</v>
      </c>
      <c r="L7" s="101">
        <f t="shared" si="1"/>
        <v>14</v>
      </c>
      <c r="M7" s="101">
        <f>0-L7</f>
        <v>-14</v>
      </c>
    </row>
    <row r="8" spans="1:13" ht="13.15" thickTop="1" x14ac:dyDescent="0.35"/>
    <row r="9" spans="1:13" x14ac:dyDescent="0.35">
      <c r="F9">
        <f>SUM(F3:F8)</f>
        <v>64</v>
      </c>
    </row>
  </sheetData>
  <mergeCells count="2">
    <mergeCell ref="A1:F1"/>
    <mergeCell ref="J1:M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76E6E-F698-47A8-BB83-7266411CA0D3}">
  <dimension ref="A1:L29"/>
  <sheetViews>
    <sheetView workbookViewId="0">
      <selection activeCell="E3" sqref="E3"/>
    </sheetView>
  </sheetViews>
  <sheetFormatPr baseColWidth="10" defaultRowHeight="12.75" x14ac:dyDescent="0.35"/>
  <cols>
    <col min="3" max="3" width="17.53125" customWidth="1"/>
    <col min="6" max="6" width="14.59765625" customWidth="1"/>
  </cols>
  <sheetData>
    <row r="1" spans="1:12" ht="13.9" thickTop="1" thickBot="1" x14ac:dyDescent="0.45">
      <c r="A1" s="208" t="s">
        <v>192</v>
      </c>
      <c r="B1" s="209"/>
      <c r="C1" s="209"/>
      <c r="D1" s="209"/>
      <c r="E1" s="209"/>
      <c r="F1" s="210"/>
      <c r="I1" s="208" t="s">
        <v>205</v>
      </c>
      <c r="J1" s="209"/>
      <c r="K1" s="209"/>
      <c r="L1" s="210"/>
    </row>
    <row r="2" spans="1:12" ht="13.9" thickTop="1" thickBot="1" x14ac:dyDescent="0.45">
      <c r="A2" s="121" t="s">
        <v>179</v>
      </c>
      <c r="B2" s="122" t="s">
        <v>189</v>
      </c>
      <c r="C2" s="122" t="s">
        <v>177</v>
      </c>
      <c r="D2" s="122" t="s">
        <v>9</v>
      </c>
      <c r="E2" s="122" t="s">
        <v>8</v>
      </c>
      <c r="F2" s="122" t="s">
        <v>174</v>
      </c>
      <c r="I2" s="122"/>
      <c r="J2" s="122" t="s">
        <v>8</v>
      </c>
      <c r="K2" s="122" t="s">
        <v>9</v>
      </c>
      <c r="L2" s="122" t="s">
        <v>9</v>
      </c>
    </row>
    <row r="3" spans="1:12" ht="13.15" thickTop="1" x14ac:dyDescent="0.35">
      <c r="A3" s="103">
        <v>1</v>
      </c>
      <c r="B3" s="103">
        <v>6</v>
      </c>
      <c r="C3" s="114" t="s">
        <v>193</v>
      </c>
      <c r="D3" s="103">
        <f>COUNTIFS(Données!$P$4:$P$67,$A3,Données!$C$4:$C$67,D$2)</f>
        <v>6</v>
      </c>
      <c r="E3" s="103">
        <f>COUNTIFS(Données!$P$4:$P$67,$A3,Données!$C$4:$C$67,E$2)</f>
        <v>12</v>
      </c>
      <c r="F3" s="103">
        <f>SUM(D3:E3)</f>
        <v>18</v>
      </c>
      <c r="I3" s="130" t="s">
        <v>206</v>
      </c>
      <c r="J3" s="103">
        <f>'Ancienneté - Sexe'!E3</f>
        <v>12</v>
      </c>
      <c r="K3" s="103">
        <f>'Ancienneté - Sexe'!D3</f>
        <v>6</v>
      </c>
      <c r="L3" s="103">
        <f>0-K3</f>
        <v>-6</v>
      </c>
    </row>
    <row r="4" spans="1:12" x14ac:dyDescent="0.35">
      <c r="A4" s="100">
        <v>2</v>
      </c>
      <c r="B4" s="100">
        <v>11</v>
      </c>
      <c r="C4" s="111" t="s">
        <v>194</v>
      </c>
      <c r="D4" s="103">
        <f>COUNTIFS(Données!$P$4:$P$67,$A4,Données!$C$4:$C$67,D$2)</f>
        <v>0</v>
      </c>
      <c r="E4" s="103">
        <f>COUNTIFS(Données!$P$4:$P$67,$A4,Données!$C$4:$C$67,E$2)</f>
        <v>0</v>
      </c>
      <c r="F4" s="103">
        <f>SUM(D4:E4)</f>
        <v>0</v>
      </c>
      <c r="I4" s="130" t="s">
        <v>207</v>
      </c>
      <c r="J4" s="103">
        <f>'Ancienneté - Sexe'!E4</f>
        <v>0</v>
      </c>
      <c r="K4" s="103">
        <f>'Ancienneté - Sexe'!D4</f>
        <v>0</v>
      </c>
      <c r="L4" s="103">
        <f>0-K4</f>
        <v>0</v>
      </c>
    </row>
    <row r="5" spans="1:12" x14ac:dyDescent="0.35">
      <c r="A5" s="100">
        <v>3</v>
      </c>
      <c r="B5" s="100">
        <v>31</v>
      </c>
      <c r="C5" s="111" t="s">
        <v>196</v>
      </c>
      <c r="D5" s="103">
        <f>COUNTIFS(Données!$P$4:$P$67,$A5,Données!$C$4:$C$67,D$2)</f>
        <v>3</v>
      </c>
      <c r="E5" s="103">
        <f>COUNTIFS(Données!$P$4:$P$67,$A5,Données!$C$4:$C$67,E$2)</f>
        <v>5</v>
      </c>
      <c r="F5" s="103">
        <f>SUM(D5:E5)</f>
        <v>8</v>
      </c>
      <c r="I5" s="130" t="s">
        <v>208</v>
      </c>
      <c r="J5" s="103">
        <f>'Ancienneté - Sexe'!E5</f>
        <v>5</v>
      </c>
      <c r="K5" s="103">
        <f>'Ancienneté - Sexe'!D5</f>
        <v>3</v>
      </c>
      <c r="L5" s="103">
        <f>0-K5</f>
        <v>-3</v>
      </c>
    </row>
    <row r="6" spans="1:12" x14ac:dyDescent="0.35">
      <c r="A6" s="100">
        <v>4</v>
      </c>
      <c r="B6" s="100">
        <v>46</v>
      </c>
      <c r="C6" s="111" t="s">
        <v>195</v>
      </c>
      <c r="D6" s="100">
        <f>COUNTIFS(Données!$P$4:$P$67,$A6,Données!$C$4:$C$67,D$2)</f>
        <v>0</v>
      </c>
      <c r="E6" s="100">
        <f>COUNTIFS(Données!$P$4:$P$67,$A6,Données!$C$4:$C$67,E$2)</f>
        <v>1</v>
      </c>
      <c r="F6" s="100">
        <f>SUM(D6:E6)</f>
        <v>1</v>
      </c>
      <c r="I6" s="130" t="s">
        <v>209</v>
      </c>
      <c r="J6" s="103">
        <f>'Ancienneté - Sexe'!E6</f>
        <v>1</v>
      </c>
      <c r="K6" s="103">
        <f>'Ancienneté - Sexe'!D6</f>
        <v>0</v>
      </c>
      <c r="L6" s="103">
        <f>0-K6</f>
        <v>0</v>
      </c>
    </row>
    <row r="7" spans="1:12" ht="13.15" thickBot="1" x14ac:dyDescent="0.4">
      <c r="A7" s="101">
        <v>5</v>
      </c>
      <c r="B7" s="112"/>
      <c r="C7" s="113" t="s">
        <v>185</v>
      </c>
      <c r="D7" s="115">
        <f>COUNTIFS(Données!$P$4:$P$67,$A7,Données!$C$4:$C$67,D$2)</f>
        <v>20</v>
      </c>
      <c r="E7" s="115">
        <f>COUNTIFS(Données!$P$4:$P$67,$A7,Données!$C$4:$C$67,E$2)</f>
        <v>17</v>
      </c>
      <c r="F7" s="115">
        <f>SUM(D7:E7)</f>
        <v>37</v>
      </c>
      <c r="I7" s="129" t="s">
        <v>210</v>
      </c>
      <c r="J7" s="115">
        <f>'Ancienneté - Sexe'!E7</f>
        <v>17</v>
      </c>
      <c r="K7" s="115">
        <f>'Ancienneté - Sexe'!D7</f>
        <v>20</v>
      </c>
      <c r="L7" s="115">
        <f>0-K7</f>
        <v>-20</v>
      </c>
    </row>
    <row r="8" spans="1:12" ht="13.15" thickTop="1" x14ac:dyDescent="0.35"/>
    <row r="9" spans="1:12" x14ac:dyDescent="0.35">
      <c r="F9">
        <f>SUM(F3:F8)</f>
        <v>64</v>
      </c>
    </row>
    <row r="29" ht="12" customHeight="1" x14ac:dyDescent="0.35"/>
  </sheetData>
  <mergeCells count="2">
    <mergeCell ref="A1:F1"/>
    <mergeCell ref="I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B30B0-21E0-4721-9B2D-E080E95B4FC1}">
  <dimension ref="A1:E11"/>
  <sheetViews>
    <sheetView topLeftCell="A6" workbookViewId="0">
      <selection activeCell="C4" sqref="C4"/>
    </sheetView>
  </sheetViews>
  <sheetFormatPr baseColWidth="10" defaultRowHeight="12.75" x14ac:dyDescent="0.35"/>
  <cols>
    <col min="2" max="2" width="24.53125" customWidth="1"/>
  </cols>
  <sheetData>
    <row r="1" spans="1:5" ht="13.9" thickTop="1" thickBot="1" x14ac:dyDescent="0.45">
      <c r="A1" s="211" t="s">
        <v>199</v>
      </c>
      <c r="B1" s="212"/>
      <c r="C1" s="212"/>
      <c r="D1" s="212"/>
      <c r="E1" s="213"/>
    </row>
    <row r="2" spans="1:5" ht="13.9" thickTop="1" thickBot="1" x14ac:dyDescent="0.45">
      <c r="A2" s="126" t="s">
        <v>179</v>
      </c>
      <c r="B2" s="127" t="s">
        <v>198</v>
      </c>
      <c r="C2" s="127" t="s">
        <v>9</v>
      </c>
      <c r="D2" s="127" t="s">
        <v>8</v>
      </c>
      <c r="E2" s="127" t="s">
        <v>180</v>
      </c>
    </row>
    <row r="3" spans="1:5" ht="13.15" thickTop="1" x14ac:dyDescent="0.35">
      <c r="A3" s="103">
        <v>1</v>
      </c>
      <c r="B3" s="125" t="s">
        <v>94</v>
      </c>
      <c r="C3" s="103">
        <f>COUNTIFS(Données!$K$4:$K$83,$A3,Données!$C$4:$C$83,'Age - Sexe'!D$2)</f>
        <v>1</v>
      </c>
      <c r="D3" s="103">
        <f>COUNTIFS(Données!$K$4:$K$83,$A3,Données!$C$4:$C$83,'Age - Sexe'!E$2)</f>
        <v>1</v>
      </c>
      <c r="E3" s="103">
        <f t="shared" ref="E3:E9" si="0">SUM(C3:D3)</f>
        <v>2</v>
      </c>
    </row>
    <row r="4" spans="1:5" x14ac:dyDescent="0.35">
      <c r="A4" s="100">
        <v>2</v>
      </c>
      <c r="B4" s="118" t="s">
        <v>95</v>
      </c>
      <c r="C4" s="100">
        <f>COUNTIFS(Données!$K$4:$K$83,$A4,Données!$C$4:$C$83,'Age - Sexe'!D$2)</f>
        <v>4</v>
      </c>
      <c r="D4" s="100">
        <f>COUNTIFS(Données!$K$4:$K$83,$A4,Données!$C$4:$C$83,'Age - Sexe'!E$2)</f>
        <v>2</v>
      </c>
      <c r="E4" s="100">
        <f t="shared" si="0"/>
        <v>6</v>
      </c>
    </row>
    <row r="5" spans="1:5" x14ac:dyDescent="0.35">
      <c r="A5" s="100">
        <v>3</v>
      </c>
      <c r="B5" s="118" t="s">
        <v>96</v>
      </c>
      <c r="C5" s="100">
        <f>COUNTIFS(Données!$K$4:$K$83,$A5,Données!$C$4:$C$83,'Age - Sexe'!D$2)</f>
        <v>1</v>
      </c>
      <c r="D5" s="100">
        <f>COUNTIFS(Données!$K$4:$K$83,$A5,Données!$C$4:$C$83,'Age - Sexe'!E$2)</f>
        <v>1</v>
      </c>
      <c r="E5" s="100">
        <f t="shared" si="0"/>
        <v>2</v>
      </c>
    </row>
    <row r="6" spans="1:5" x14ac:dyDescent="0.35">
      <c r="A6" s="100">
        <v>4</v>
      </c>
      <c r="B6" s="118" t="s">
        <v>97</v>
      </c>
      <c r="C6" s="100">
        <f>COUNTIFS(Données!$K$4:$K$83,$A6,Données!$C$4:$C$83,'Age - Sexe'!D$2)</f>
        <v>0</v>
      </c>
      <c r="D6" s="100">
        <f>COUNTIFS(Données!$K$4:$K$83,$A6,Données!$C$4:$C$83,'Age - Sexe'!E$2)</f>
        <v>0</v>
      </c>
      <c r="E6" s="100">
        <f t="shared" si="0"/>
        <v>0</v>
      </c>
    </row>
    <row r="7" spans="1:5" x14ac:dyDescent="0.35">
      <c r="A7" s="100">
        <v>5</v>
      </c>
      <c r="B7" s="118" t="s">
        <v>98</v>
      </c>
      <c r="C7" s="100">
        <f>COUNTIFS(Données!$K$4:$K$83,$A7,Données!$C$4:$C$83,'Age - Sexe'!D$2)</f>
        <v>2</v>
      </c>
      <c r="D7" s="100">
        <f>COUNTIFS(Données!$K$4:$K$83,$A7,Données!$C$4:$C$83,'Age - Sexe'!E$2)</f>
        <v>3</v>
      </c>
      <c r="E7" s="100">
        <f t="shared" si="0"/>
        <v>5</v>
      </c>
    </row>
    <row r="8" spans="1:5" x14ac:dyDescent="0.35">
      <c r="A8" s="100">
        <v>6</v>
      </c>
      <c r="B8" s="118" t="s">
        <v>99</v>
      </c>
      <c r="C8" s="100">
        <f>COUNTIFS(Données!$K$4:$K$83,$A8,Données!$C$4:$C$83,'Age - Sexe'!D$2)</f>
        <v>0</v>
      </c>
      <c r="D8" s="100">
        <f>COUNTIFS(Données!$K$4:$K$83,$A8,Données!$C$4:$C$83,'Age - Sexe'!E$2)</f>
        <v>0</v>
      </c>
      <c r="E8" s="100">
        <f t="shared" si="0"/>
        <v>0</v>
      </c>
    </row>
    <row r="9" spans="1:5" ht="13.15" thickBot="1" x14ac:dyDescent="0.4">
      <c r="A9" s="101">
        <v>7</v>
      </c>
      <c r="B9" s="119" t="s">
        <v>100</v>
      </c>
      <c r="C9" s="101">
        <f>COUNTIFS(Données!$K$4:$K$83,$A9,Données!$C$4:$C$83,'Age - Sexe'!D$2)</f>
        <v>1</v>
      </c>
      <c r="D9" s="101">
        <f>COUNTIFS(Données!$K$4:$K$83,$A9,Données!$C$4:$C$83,'Age - Sexe'!E$2)</f>
        <v>0</v>
      </c>
      <c r="E9" s="101">
        <f t="shared" si="0"/>
        <v>1</v>
      </c>
    </row>
    <row r="10" spans="1:5" ht="13.15" thickTop="1" x14ac:dyDescent="0.35"/>
    <row r="11" spans="1:5" x14ac:dyDescent="0.35">
      <c r="E11">
        <f>SUM(E3:E10)</f>
        <v>16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62F3-3E96-42B6-9C65-76377B2E295A}">
  <dimension ref="A3:D6"/>
  <sheetViews>
    <sheetView workbookViewId="0">
      <selection activeCell="A3" sqref="A3:D6"/>
    </sheetView>
  </sheetViews>
  <sheetFormatPr baseColWidth="10" defaultRowHeight="12.75" x14ac:dyDescent="0.35"/>
  <cols>
    <col min="1" max="1" width="20.33203125" bestFit="1" customWidth="1"/>
    <col min="2" max="2" width="23.1328125" bestFit="1" customWidth="1"/>
    <col min="3" max="3" width="11.9296875" customWidth="1"/>
    <col min="4" max="4" width="12.265625" bestFit="1" customWidth="1"/>
    <col min="5" max="5" width="20.265625" bestFit="1" customWidth="1"/>
    <col min="6" max="6" width="21" bestFit="1" customWidth="1"/>
  </cols>
  <sheetData>
    <row r="3" spans="1:4" x14ac:dyDescent="0.35">
      <c r="A3" s="93" t="s">
        <v>175</v>
      </c>
      <c r="B3" s="93" t="s">
        <v>229</v>
      </c>
    </row>
    <row r="4" spans="1:4" x14ac:dyDescent="0.35">
      <c r="A4" s="93" t="s">
        <v>173</v>
      </c>
      <c r="B4" t="s">
        <v>9</v>
      </c>
      <c r="C4" t="s">
        <v>8</v>
      </c>
      <c r="D4" t="s">
        <v>174</v>
      </c>
    </row>
    <row r="5" spans="1:4" x14ac:dyDescent="0.35">
      <c r="A5" s="94" t="s">
        <v>230</v>
      </c>
      <c r="B5">
        <v>1</v>
      </c>
      <c r="C5">
        <v>1</v>
      </c>
      <c r="D5">
        <v>2</v>
      </c>
    </row>
    <row r="6" spans="1:4" x14ac:dyDescent="0.35">
      <c r="A6" s="94" t="s">
        <v>174</v>
      </c>
      <c r="B6">
        <v>1</v>
      </c>
      <c r="C6">
        <v>1</v>
      </c>
      <c r="D6">
        <v>2</v>
      </c>
    </row>
  </sheetData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Données</vt:lpstr>
      <vt:lpstr>17 Etu</vt:lpstr>
      <vt:lpstr>Statut - Sexe</vt:lpstr>
      <vt:lpstr>Statut - Effectif</vt:lpstr>
      <vt:lpstr>Temps Plein,Partiel - Sexe</vt:lpstr>
      <vt:lpstr>Age - Sexe</vt:lpstr>
      <vt:lpstr>Ancienneté - Sexe</vt:lpstr>
      <vt:lpstr>Sorties - Sexe</vt:lpstr>
      <vt:lpstr>Entrées TCD</vt:lpstr>
      <vt:lpstr>Absentéisme TCD</vt:lpstr>
      <vt:lpstr>Rémunération</vt:lpstr>
    </vt:vector>
  </TitlesOfParts>
  <Company>iut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Tara</cp:lastModifiedBy>
  <dcterms:created xsi:type="dcterms:W3CDTF">2006-09-28T07:58:50Z</dcterms:created>
  <dcterms:modified xsi:type="dcterms:W3CDTF">2022-09-14T17:37:35Z</dcterms:modified>
</cp:coreProperties>
</file>