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mas\Dropbox\cours\CG\L3 AES\Partie 1. Cout complet - centre d'analyse\"/>
    </mc:Choice>
  </mc:AlternateContent>
  <bookViews>
    <workbookView xWindow="0" yWindow="0" windowWidth="19200" windowHeight="6180"/>
  </bookViews>
  <sheets>
    <sheet name="Centre dAnalyse" sheetId="2" r:id="rId1"/>
    <sheet name="Calcul des coût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E32" i="3"/>
  <c r="B32" i="3"/>
  <c r="G31" i="3"/>
  <c r="D30" i="3"/>
  <c r="E29" i="3"/>
  <c r="B29" i="3"/>
  <c r="E28" i="3"/>
  <c r="B28" i="3"/>
  <c r="E27" i="3"/>
  <c r="B27" i="3"/>
  <c r="B21" i="3"/>
  <c r="B22" i="3" s="1"/>
  <c r="F21" i="3" s="1"/>
  <c r="O20" i="3"/>
  <c r="O25" i="3" s="1"/>
  <c r="O26" i="3" s="1"/>
  <c r="F20" i="3"/>
  <c r="F22" i="3" s="1"/>
  <c r="O18" i="3"/>
  <c r="L18" i="3"/>
  <c r="O17" i="3"/>
  <c r="B17" i="3"/>
  <c r="L11" i="3"/>
  <c r="N10" i="3"/>
  <c r="L10" i="3"/>
  <c r="L12" i="3" s="1"/>
  <c r="P11" i="3" s="1"/>
  <c r="F10" i="3"/>
  <c r="B10" i="3"/>
  <c r="B11" i="3" s="1"/>
  <c r="F9" i="3"/>
  <c r="B6" i="3"/>
  <c r="L5" i="3"/>
  <c r="L6" i="3" s="1"/>
  <c r="P5" i="3" s="1"/>
  <c r="P4" i="3"/>
  <c r="L17" i="3" s="1"/>
  <c r="L20" i="3" s="1"/>
  <c r="L25" i="3" s="1"/>
  <c r="L26" i="3" s="1"/>
  <c r="G8" i="2"/>
  <c r="D8" i="2"/>
  <c r="H6" i="2"/>
  <c r="D5" i="2"/>
  <c r="C5" i="2"/>
  <c r="E5" i="2" s="1"/>
  <c r="F5" i="2" s="1"/>
  <c r="G5" i="2" s="1"/>
  <c r="B5" i="2"/>
  <c r="E4" i="2"/>
  <c r="C4" i="2"/>
  <c r="D4" i="2" s="1"/>
  <c r="D6" i="2" s="1"/>
  <c r="D9" i="2" s="1"/>
  <c r="C5" i="3" s="1"/>
  <c r="H9" i="2" l="1"/>
  <c r="P12" i="3"/>
  <c r="O27" i="3"/>
  <c r="Q26" i="3"/>
  <c r="D5" i="3"/>
  <c r="D6" i="3" s="1"/>
  <c r="C16" i="3"/>
  <c r="D16" i="3" s="1"/>
  <c r="D17" i="3" s="1"/>
  <c r="L27" i="3"/>
  <c r="N26" i="3"/>
  <c r="E6" i="2"/>
  <c r="E9" i="2" s="1"/>
  <c r="C29" i="3" s="1"/>
  <c r="D29" i="3" s="1"/>
  <c r="F4" i="2"/>
  <c r="P6" i="3"/>
  <c r="F11" i="3"/>
  <c r="M26" i="3" l="1"/>
  <c r="F6" i="2"/>
  <c r="F9" i="2" s="1"/>
  <c r="F29" i="3" s="1"/>
  <c r="G29" i="3" s="1"/>
  <c r="G4" i="2"/>
  <c r="G6" i="2" s="1"/>
  <c r="G9" i="2" s="1"/>
  <c r="M18" i="3" s="1"/>
  <c r="C17" i="3"/>
  <c r="D21" i="3"/>
  <c r="D22" i="3" s="1"/>
  <c r="C22" i="3" s="1"/>
  <c r="P26" i="3"/>
  <c r="C6" i="3"/>
  <c r="C10" i="3" s="1"/>
  <c r="D10" i="3"/>
  <c r="D11" i="3" s="1"/>
  <c r="C11" i="3" s="1"/>
  <c r="P18" i="3" l="1"/>
  <c r="Q18" i="3" s="1"/>
  <c r="N18" i="3"/>
  <c r="H20" i="3"/>
  <c r="H21" i="3"/>
  <c r="H9" i="3"/>
  <c r="H11" i="3" s="1"/>
  <c r="G11" i="3" s="1"/>
  <c r="G9" i="3" s="1"/>
  <c r="H10" i="3"/>
  <c r="G27" i="3" l="1"/>
  <c r="D27" i="3"/>
  <c r="H22" i="3"/>
  <c r="G22" i="3" s="1"/>
  <c r="G20" i="3" s="1"/>
  <c r="D28" i="3" l="1"/>
  <c r="D32" i="3" s="1"/>
  <c r="G28" i="3"/>
  <c r="G32" i="3" s="1"/>
  <c r="F32" i="3" l="1"/>
  <c r="N11" i="3"/>
  <c r="N12" i="3" s="1"/>
  <c r="C32" i="3"/>
  <c r="M5" i="3" s="1"/>
  <c r="N5" i="3"/>
  <c r="N6" i="3" s="1"/>
  <c r="R4" i="3" l="1"/>
  <c r="R5" i="3"/>
  <c r="R10" i="3"/>
  <c r="R11" i="3"/>
  <c r="Q19" i="3" l="1"/>
  <c r="O19" i="3"/>
  <c r="Q17" i="3"/>
  <c r="R12" i="3"/>
  <c r="Q12" i="3" s="1"/>
  <c r="R6" i="3"/>
  <c r="Q6" i="3" s="1"/>
  <c r="L19" i="3"/>
  <c r="N19" i="3" s="1"/>
  <c r="N17" i="3"/>
  <c r="N20" i="3" l="1"/>
  <c r="N25" i="3" s="1"/>
  <c r="N27" i="3" s="1"/>
  <c r="Q20" i="3"/>
  <c r="M20" i="3" l="1"/>
  <c r="M27" i="3"/>
  <c r="P20" i="3"/>
  <c r="Q25" i="3"/>
  <c r="Q27" i="3" s="1"/>
  <c r="P27" i="3" s="1"/>
  <c r="L28" i="3" l="1"/>
</calcChain>
</file>

<file path=xl/sharedStrings.xml><?xml version="1.0" encoding="utf-8"?>
<sst xmlns="http://schemas.openxmlformats.org/spreadsheetml/2006/main" count="142" uniqueCount="61">
  <si>
    <t>Gestion du personnel</t>
  </si>
  <si>
    <t>Gestion du Matériel</t>
  </si>
  <si>
    <t>Approvisionnement</t>
  </si>
  <si>
    <t>Atelier 1</t>
  </si>
  <si>
    <t>Atelier 2</t>
  </si>
  <si>
    <t>Distribution</t>
  </si>
  <si>
    <t>Administration</t>
  </si>
  <si>
    <t>Total répartition Primaire</t>
  </si>
  <si>
    <t>Gestion Personnel</t>
  </si>
  <si>
    <t>X = 1850 + 0,1Y</t>
  </si>
  <si>
    <t>Gestion Matériel</t>
  </si>
  <si>
    <t>Y = 1100 + 0,2X</t>
  </si>
  <si>
    <t>Total répartition Secondaire</t>
  </si>
  <si>
    <t>X = 1850 + 0,1 (1100 + 0,2X)</t>
  </si>
  <si>
    <t>Nature de l'U.O.</t>
  </si>
  <si>
    <t>Unité Acheté</t>
  </si>
  <si>
    <t>Heure MOD</t>
  </si>
  <si>
    <t>H MOD</t>
  </si>
  <si>
    <t>Nb d'unités vendues</t>
  </si>
  <si>
    <t>1€ de coût de production des produits vendus</t>
  </si>
  <si>
    <t>X = 1850 + 110 + 0,02X</t>
  </si>
  <si>
    <t>Nombre d'U.O.</t>
  </si>
  <si>
    <t>1X - 0,02X = 1960</t>
  </si>
  <si>
    <t>Coût de l'U.O</t>
  </si>
  <si>
    <t>X = 1960 / 0,98</t>
  </si>
  <si>
    <t>X = 2000</t>
  </si>
  <si>
    <t>Y = 1100 + 0,2 * 2000</t>
  </si>
  <si>
    <t>Y = 1500</t>
  </si>
  <si>
    <t>Coût d'achat Perles</t>
  </si>
  <si>
    <t>Fiche de Stock PF Bague B1</t>
  </si>
  <si>
    <t>Q</t>
  </si>
  <si>
    <t>U</t>
  </si>
  <si>
    <t>T</t>
  </si>
  <si>
    <t>Achat MP</t>
  </si>
  <si>
    <t>SI</t>
  </si>
  <si>
    <t>Sorties</t>
  </si>
  <si>
    <t>Ct Appro</t>
  </si>
  <si>
    <t>Entrant</t>
  </si>
  <si>
    <t>SF</t>
  </si>
  <si>
    <t>Coût d'achat</t>
  </si>
  <si>
    <t>TOTAL</t>
  </si>
  <si>
    <t>Fiche de Stock Perles</t>
  </si>
  <si>
    <t>Fiche de Stock PF Bague B2</t>
  </si>
  <si>
    <t>Coût d'achat Argent</t>
  </si>
  <si>
    <t>Coût de revient des Bagues B1 &amp; B2</t>
  </si>
  <si>
    <t>Bague B1</t>
  </si>
  <si>
    <t>Bague B2</t>
  </si>
  <si>
    <t>Coût de Production des produits fabriqués</t>
  </si>
  <si>
    <t>Fiche de Stock Argent</t>
  </si>
  <si>
    <t>Centre Distribution</t>
  </si>
  <si>
    <t>Centre Administration</t>
  </si>
  <si>
    <t>Coût de revient</t>
  </si>
  <si>
    <t>Résultat Analytique</t>
  </si>
  <si>
    <t>Coût de production des produits fabriqués</t>
  </si>
  <si>
    <t>Chiffre d'Affaires</t>
  </si>
  <si>
    <t>Perles</t>
  </si>
  <si>
    <t>Argent</t>
  </si>
  <si>
    <t xml:space="preserve">TOTAL </t>
  </si>
  <si>
    <t>MOD Directe</t>
  </si>
  <si>
    <t>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</si>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</sst>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&quot;[$€-2]"/>
    <numFmt numFmtId="165" formatCode="#,##0.000000000&quot; &quot;[$€-2]"/>
    <numFmt numFmtId="166" formatCode="#,##0.00&quot; &quot;[$€-2]"/>
    <numFmt numFmtId="167" formatCode="#,##0.000&quot; &quot;[$€-2]"/>
    <numFmt numFmtId="168" formatCode="#,##0.0000&quot; &quot;[$€-2]"/>
  </numFmts>
  <fonts count="6">
    <font>
      <sz val="10"/>
      <color indexed="8"/>
      <name val="Arial"/>
    </font>
    <font>
      <sz val="10"/>
      <color indexed="8"/>
      <name val="Avenir Roman"/>
    </font>
    <font>
      <sz val="10"/>
      <color indexed="13"/>
      <name val="Avenir Roman"/>
    </font>
    <font>
      <u/>
      <sz val="10"/>
      <color indexed="8"/>
      <name val="Avenir Roman"/>
    </font>
    <font>
      <b/>
      <sz val="10"/>
      <color indexed="13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9"/>
      </bottom>
      <diagonal/>
    </border>
    <border>
      <left style="thin">
        <color indexed="8"/>
      </left>
      <right style="thin">
        <color indexed="19"/>
      </right>
      <top style="thin">
        <color indexed="8"/>
      </top>
      <bottom style="thin">
        <color indexed="8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 style="thin">
        <color indexed="12"/>
      </right>
      <top style="thin">
        <color indexed="19"/>
      </top>
      <bottom style="thin">
        <color indexed="19"/>
      </bottom>
      <diagonal/>
    </border>
    <border>
      <left style="thin">
        <color indexed="12"/>
      </left>
      <right style="thin">
        <color indexed="12"/>
      </right>
      <top style="thin">
        <color indexed="19"/>
      </top>
      <bottom style="thin">
        <color indexed="19"/>
      </bottom>
      <diagonal/>
    </border>
    <border>
      <left style="thin">
        <color indexed="12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9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78">
    <xf numFmtId="0" fontId="0" fillId="0" borderId="0" xfId="0"/>
    <xf numFmtId="0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9" fontId="2" fillId="2" borderId="3" xfId="0" applyNumberFormat="1" applyFont="1" applyFill="1" applyBorder="1"/>
    <xf numFmtId="0" fontId="1" fillId="0" borderId="4" xfId="0" applyFont="1" applyBorder="1"/>
    <xf numFmtId="0" fontId="1" fillId="0" borderId="3" xfId="0" applyNumberFormat="1" applyFont="1" applyBorder="1"/>
    <xf numFmtId="4" fontId="1" fillId="0" borderId="3" xfId="0" applyNumberFormat="1" applyFont="1" applyBorder="1"/>
    <xf numFmtId="49" fontId="1" fillId="0" borderId="4" xfId="0" applyNumberFormat="1" applyFont="1" applyBorder="1"/>
    <xf numFmtId="49" fontId="2" fillId="3" borderId="3" xfId="0" applyNumberFormat="1" applyFont="1" applyFill="1" applyBorder="1"/>
    <xf numFmtId="0" fontId="1" fillId="3" borderId="3" xfId="0" applyNumberFormat="1" applyFont="1" applyFill="1" applyBorder="1"/>
    <xf numFmtId="4" fontId="1" fillId="3" borderId="3" xfId="0" applyNumberFormat="1" applyFont="1" applyFill="1" applyBorder="1"/>
    <xf numFmtId="49" fontId="1" fillId="4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165" fontId="1" fillId="0" borderId="3" xfId="0" applyNumberFormat="1" applyFont="1" applyBorder="1"/>
    <xf numFmtId="0" fontId="1" fillId="0" borderId="5" xfId="0" applyFont="1" applyBorder="1"/>
    <xf numFmtId="49" fontId="3" fillId="0" borderId="2" xfId="0" applyNumberFormat="1" applyFont="1" applyBorder="1"/>
    <xf numFmtId="49" fontId="1" fillId="0" borderId="2" xfId="0" applyNumberFormat="1" applyFont="1" applyBorder="1"/>
    <xf numFmtId="0" fontId="0" fillId="0" borderId="2" xfId="0" applyBorder="1"/>
    <xf numFmtId="0" fontId="0" fillId="0" borderId="1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11" xfId="0" applyBorder="1"/>
    <xf numFmtId="0" fontId="0" fillId="0" borderId="3" xfId="0" applyBorder="1"/>
    <xf numFmtId="49" fontId="1" fillId="0" borderId="3" xfId="0" applyNumberFormat="1" applyFont="1" applyBorder="1"/>
    <xf numFmtId="0" fontId="0" fillId="0" borderId="12" xfId="0" applyBorder="1"/>
    <xf numFmtId="0" fontId="0" fillId="0" borderId="5" xfId="0" applyBorder="1"/>
    <xf numFmtId="0" fontId="1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1" fillId="0" borderId="3" xfId="0" applyNumberFormat="1" applyFont="1" applyBorder="1" applyAlignment="1">
      <alignment horizontal="right"/>
    </xf>
    <xf numFmtId="0" fontId="1" fillId="5" borderId="3" xfId="0" applyNumberFormat="1" applyFont="1" applyFill="1" applyBorder="1" applyAlignment="1">
      <alignment horizontal="right"/>
    </xf>
    <xf numFmtId="166" fontId="1" fillId="5" borderId="3" xfId="0" applyNumberFormat="1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0" fontId="1" fillId="6" borderId="3" xfId="0" applyNumberFormat="1" applyFont="1" applyFill="1" applyBorder="1" applyAlignment="1">
      <alignment horizontal="right"/>
    </xf>
    <xf numFmtId="166" fontId="1" fillId="6" borderId="3" xfId="0" applyNumberFormat="1" applyFont="1" applyFill="1" applyBorder="1" applyAlignment="1">
      <alignment horizontal="right"/>
    </xf>
    <xf numFmtId="164" fontId="1" fillId="6" borderId="3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" wrapText="1"/>
    </xf>
    <xf numFmtId="0" fontId="1" fillId="7" borderId="3" xfId="0" applyNumberFormat="1" applyFont="1" applyFill="1" applyBorder="1" applyAlignment="1">
      <alignment horizontal="right"/>
    </xf>
    <xf numFmtId="166" fontId="1" fillId="7" borderId="3" xfId="0" applyNumberFormat="1" applyFont="1" applyFill="1" applyBorder="1" applyAlignment="1">
      <alignment horizontal="right"/>
    </xf>
    <xf numFmtId="164" fontId="1" fillId="7" borderId="3" xfId="0" applyNumberFormat="1" applyFont="1" applyFill="1" applyBorder="1" applyAlignment="1">
      <alignment horizontal="right"/>
    </xf>
    <xf numFmtId="0" fontId="0" fillId="0" borderId="13" xfId="0" applyBorder="1"/>
    <xf numFmtId="0" fontId="1" fillId="8" borderId="3" xfId="0" applyNumberFormat="1" applyFont="1" applyFill="1" applyBorder="1" applyAlignment="1">
      <alignment horizontal="right"/>
    </xf>
    <xf numFmtId="166" fontId="1" fillId="8" borderId="3" xfId="0" applyNumberFormat="1" applyFont="1" applyFill="1" applyBorder="1" applyAlignment="1">
      <alignment horizontal="right"/>
    </xf>
    <xf numFmtId="164" fontId="1" fillId="8" borderId="3" xfId="0" applyNumberFormat="1" applyFont="1" applyFill="1" applyBorder="1" applyAlignment="1">
      <alignment horizontal="right"/>
    </xf>
    <xf numFmtId="49" fontId="0" fillId="0" borderId="3" xfId="0" applyNumberFormat="1" applyBorder="1"/>
    <xf numFmtId="49" fontId="0" fillId="4" borderId="3" xfId="0" applyNumberFormat="1" applyFill="1" applyBorder="1" applyAlignment="1">
      <alignment wrapText="1"/>
    </xf>
    <xf numFmtId="0" fontId="0" fillId="5" borderId="3" xfId="0" applyNumberFormat="1" applyFill="1" applyBorder="1"/>
    <xf numFmtId="0" fontId="0" fillId="5" borderId="3" xfId="0" applyFill="1" applyBorder="1"/>
    <xf numFmtId="164" fontId="0" fillId="5" borderId="3" xfId="0" applyNumberFormat="1" applyFill="1" applyBorder="1"/>
    <xf numFmtId="0" fontId="0" fillId="0" borderId="3" xfId="0" applyNumberFormat="1" applyBorder="1"/>
    <xf numFmtId="165" fontId="0" fillId="0" borderId="3" xfId="0" applyNumberFormat="1" applyBorder="1"/>
    <xf numFmtId="49" fontId="4" fillId="2" borderId="3" xfId="0" applyNumberFormat="1" applyFont="1" applyFill="1" applyBorder="1" applyAlignment="1">
      <alignment horizontal="center"/>
    </xf>
    <xf numFmtId="167" fontId="0" fillId="0" borderId="3" xfId="0" applyNumberFormat="1" applyBorder="1"/>
    <xf numFmtId="166" fontId="0" fillId="0" borderId="3" xfId="0" applyNumberFormat="1" applyBorder="1"/>
    <xf numFmtId="0" fontId="0" fillId="0" borderId="15" xfId="0" applyNumberFormat="1" applyBorder="1"/>
    <xf numFmtId="166" fontId="0" fillId="0" borderId="15" xfId="0" applyNumberFormat="1" applyBorder="1"/>
    <xf numFmtId="164" fontId="0" fillId="0" borderId="15" xfId="0" applyNumberFormat="1" applyBorder="1"/>
    <xf numFmtId="49" fontId="0" fillId="0" borderId="16" xfId="0" applyNumberFormat="1" applyBorder="1"/>
    <xf numFmtId="0" fontId="0" fillId="0" borderId="21" xfId="0" applyBorder="1"/>
    <xf numFmtId="0" fontId="0" fillId="0" borderId="22" xfId="0" applyBorder="1"/>
    <xf numFmtId="0" fontId="0" fillId="0" borderId="3" xfId="0" applyNumberFormat="1" applyBorder="1" applyAlignment="1">
      <alignment horizontal="right"/>
    </xf>
    <xf numFmtId="0" fontId="0" fillId="6" borderId="3" xfId="0" applyNumberFormat="1" applyFill="1" applyBorder="1" applyAlignment="1">
      <alignment horizontal="center" vertical="center"/>
    </xf>
    <xf numFmtId="166" fontId="0" fillId="6" borderId="3" xfId="0" applyNumberFormat="1" applyFill="1" applyBorder="1" applyAlignment="1">
      <alignment horizontal="center" vertical="center"/>
    </xf>
    <xf numFmtId="168" fontId="1" fillId="0" borderId="3" xfId="0" applyNumberFormat="1" applyFont="1" applyBorder="1" applyAlignment="1">
      <alignment horizontal="right"/>
    </xf>
    <xf numFmtId="164" fontId="0" fillId="0" borderId="4" xfId="0" applyNumberFormat="1" applyBorder="1"/>
    <xf numFmtId="164" fontId="2" fillId="2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5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F4CCCC"/>
      <rgbColor rgb="FFC9DAF8"/>
      <rgbColor rgb="FFD9D2E9"/>
      <rgbColor rgb="FFFFF2CC"/>
      <rgbColor rgb="FFD9EAD3"/>
      <rgbColor rgb="FFFF0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21</xdr:row>
      <xdr:rowOff>191254</xdr:rowOff>
    </xdr:from>
    <xdr:to>
      <xdr:col>9</xdr:col>
      <xdr:colOff>619125</xdr:colOff>
      <xdr:row>50</xdr:row>
      <xdr:rowOff>182432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96250" y="4520684"/>
          <a:ext cx="2619375" cy="604463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91424" tIns="91424" rIns="91424" bIns="91424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defRPr>
          </a:pP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MOD Bague B1 :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defRPr>
          </a:pP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6min par bague soit 60/6 = 10 bague par heure</a:t>
          </a:r>
          <a:b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</a:b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23 000 Bagues B1 sont produites</a:t>
          </a:r>
          <a:b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</a:b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23 000 / 10 =</a:t>
          </a:r>
          <a:r>
            <a:rPr sz="1600" b="0" i="0" u="sng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 2300 Heures à 19€ de l’heure</a:t>
          </a: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 pour produire la totalité des bagues B1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defRPr>
          </a:pP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venir Roman"/>
              <a:ea typeface="Avenir Roman"/>
              <a:cs typeface="Avenir Roman"/>
              <a:sym typeface="Avenir Roman"/>
            </a:rPr>
            <a:t>MOD Bague B2 : 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2,5 plus de temps soit 6*2,5 = 15 min par bague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60/15 = 4 Bague par heure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defRPr>
          </a:pP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2 400 Bagues B2 sont produites</a:t>
          </a:r>
          <a:b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</a:b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2400/4 = </a:t>
          </a:r>
          <a:r>
            <a:rPr sz="1600" b="0" i="0" u="sng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600 heures à 22€ de l’heure</a:t>
          </a:r>
          <a:r>
            <a:rPr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Arial"/>
              <a:ea typeface="Arial"/>
              <a:cs typeface="Arial"/>
              <a:sym typeface="Arial"/>
            </a:rPr>
            <a:t> pour produire la totalité des bagues B2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V1000"/>
  <sheetViews>
    <sheetView showGridLines="0" tabSelected="1" workbookViewId="0">
      <selection activeCell="H9" sqref="H9"/>
    </sheetView>
  </sheetViews>
  <sheetFormatPr baseColWidth="10" defaultColWidth="14.453125" defaultRowHeight="15.75" customHeight="1"/>
  <cols>
    <col min="1" max="1" width="24.453125" style="1" customWidth="1"/>
    <col min="2" max="8" width="20.453125" style="1" customWidth="1"/>
    <col min="9" max="10" width="29.81640625" style="1" customWidth="1"/>
    <col min="11" max="256" width="14.453125" style="1" customWidth="1"/>
  </cols>
  <sheetData>
    <row r="1" spans="1:26" ht="17" customHeight="1">
      <c r="A1" s="2" t="s">
        <v>60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" customHeight="1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" customHeight="1">
      <c r="A3" s="5" t="s">
        <v>7</v>
      </c>
      <c r="B3" s="7">
        <v>1850</v>
      </c>
      <c r="C3" s="7">
        <v>1100</v>
      </c>
      <c r="D3" s="7">
        <v>1320</v>
      </c>
      <c r="E3" s="7">
        <v>6335</v>
      </c>
      <c r="F3" s="7">
        <v>1240</v>
      </c>
      <c r="G3" s="7">
        <v>3122</v>
      </c>
      <c r="H3" s="7">
        <v>3536</v>
      </c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" customHeight="1">
      <c r="A4" s="5" t="s">
        <v>8</v>
      </c>
      <c r="B4" s="8">
        <v>2000</v>
      </c>
      <c r="C4" s="8">
        <f>B4*0.2</f>
        <v>400</v>
      </c>
      <c r="D4" s="8">
        <f>C4/2</f>
        <v>200</v>
      </c>
      <c r="E4" s="8">
        <f>B4*0.5</f>
        <v>1000</v>
      </c>
      <c r="F4" s="8">
        <f>E4/5</f>
        <v>200</v>
      </c>
      <c r="G4" s="8">
        <f>F4</f>
        <v>200</v>
      </c>
      <c r="H4" s="4"/>
      <c r="I4" s="9" t="s">
        <v>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" customHeight="1">
      <c r="A5" s="5" t="s">
        <v>10</v>
      </c>
      <c r="B5" s="8">
        <f>C5*0.1</f>
        <v>150</v>
      </c>
      <c r="C5" s="8">
        <f>1500</f>
        <v>1500</v>
      </c>
      <c r="D5" s="8">
        <f>C5*0.2</f>
        <v>300</v>
      </c>
      <c r="E5" s="8">
        <f>C5*0.4</f>
        <v>600</v>
      </c>
      <c r="F5" s="8">
        <f>E5/2</f>
        <v>300</v>
      </c>
      <c r="G5" s="8">
        <f>F5/2</f>
        <v>150</v>
      </c>
      <c r="H5" s="4"/>
      <c r="I5" s="9" t="s">
        <v>11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" customHeight="1">
      <c r="A6" s="10" t="s">
        <v>12</v>
      </c>
      <c r="B6" s="11">
        <v>0</v>
      </c>
      <c r="C6" s="11">
        <v>0</v>
      </c>
      <c r="D6" s="12">
        <f>SUM(D3:D5)</f>
        <v>1820</v>
      </c>
      <c r="E6" s="12">
        <f>SUM(E3:E5)</f>
        <v>7935</v>
      </c>
      <c r="F6" s="12">
        <f>SUM(F3:F5)</f>
        <v>1740</v>
      </c>
      <c r="G6" s="12">
        <f>SUM(G3:G5)</f>
        <v>3472</v>
      </c>
      <c r="H6" s="7">
        <f>H3</f>
        <v>3536</v>
      </c>
      <c r="I6" s="9" t="s">
        <v>13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" customHeight="1">
      <c r="A7" s="5" t="s">
        <v>14</v>
      </c>
      <c r="B7" s="4"/>
      <c r="C7" s="4"/>
      <c r="D7" s="13" t="s">
        <v>15</v>
      </c>
      <c r="E7" s="13" t="s">
        <v>16</v>
      </c>
      <c r="F7" s="13" t="s">
        <v>17</v>
      </c>
      <c r="G7" s="13" t="s">
        <v>18</v>
      </c>
      <c r="H7" s="14" t="s">
        <v>19</v>
      </c>
      <c r="I7" s="9" t="s">
        <v>20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" customHeight="1">
      <c r="A8" s="5" t="s">
        <v>21</v>
      </c>
      <c r="B8" s="4"/>
      <c r="C8" s="4"/>
      <c r="D8" s="7">
        <f>20000+6000</f>
        <v>26000</v>
      </c>
      <c r="E8" s="7">
        <v>2300</v>
      </c>
      <c r="F8" s="7">
        <v>600</v>
      </c>
      <c r="G8" s="7">
        <f>21600+3200</f>
        <v>24800</v>
      </c>
      <c r="H8" s="15">
        <f>'Calcul des coûts'!R4+'Calcul des coûts'!R10</f>
        <v>71568</v>
      </c>
      <c r="I8" s="9" t="s">
        <v>22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" customHeight="1">
      <c r="A9" s="5" t="s">
        <v>23</v>
      </c>
      <c r="B9" s="4"/>
      <c r="C9" s="4"/>
      <c r="D9" s="7">
        <f>D6/D8</f>
        <v>7.0000000000000007E-2</v>
      </c>
      <c r="E9" s="7">
        <f>E6/E8</f>
        <v>3.45</v>
      </c>
      <c r="F9" s="7">
        <f>F6/F8</f>
        <v>2.9</v>
      </c>
      <c r="G9" s="7">
        <f>G6/G8</f>
        <v>0.14000000000000001</v>
      </c>
      <c r="H9" s="16">
        <f>H6/H8</f>
        <v>4.9407556449809972E-2</v>
      </c>
      <c r="I9" s="9" t="s">
        <v>24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" customHeight="1">
      <c r="A10" s="17"/>
      <c r="B10" s="17"/>
      <c r="C10" s="17"/>
      <c r="D10" s="17"/>
      <c r="E10" s="17"/>
      <c r="F10" s="17"/>
      <c r="G10" s="17"/>
      <c r="H10" s="17"/>
      <c r="I10" s="18" t="s">
        <v>25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" customHeight="1">
      <c r="A11" s="3"/>
      <c r="B11" s="3"/>
      <c r="C11" s="3"/>
      <c r="D11" s="3"/>
      <c r="E11" s="3"/>
      <c r="F11" s="3"/>
      <c r="G11" s="3"/>
      <c r="H11" s="3"/>
      <c r="I11" s="19" t="s">
        <v>26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" customHeight="1">
      <c r="A12" s="3"/>
      <c r="B12" s="3"/>
      <c r="C12" s="3"/>
      <c r="D12" s="3"/>
      <c r="E12" s="3"/>
      <c r="F12" s="3"/>
      <c r="G12" s="3"/>
      <c r="H12" s="3"/>
      <c r="I12" s="18" t="s">
        <v>27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geOrder="overThenDown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V32"/>
  <sheetViews>
    <sheetView showGridLines="0" zoomScale="62" zoomScaleNormal="62" workbookViewId="0">
      <selection activeCell="E36" sqref="E36"/>
    </sheetView>
  </sheetViews>
  <sheetFormatPr baseColWidth="10" defaultColWidth="14.453125" defaultRowHeight="15.75" customHeight="1"/>
  <cols>
    <col min="1" max="1" width="16.453125" style="1" customWidth="1"/>
    <col min="2" max="10" width="14.453125" style="1" customWidth="1"/>
    <col min="11" max="11" width="21.453125" style="1" customWidth="1"/>
    <col min="12" max="256" width="14.453125" style="1" customWidth="1"/>
  </cols>
  <sheetData>
    <row r="1" spans="1:18" ht="15.75" customHeight="1">
      <c r="A1" s="20"/>
      <c r="B1" s="21"/>
      <c r="C1" s="21"/>
      <c r="D1" s="21"/>
      <c r="E1" s="21"/>
      <c r="F1" s="21"/>
      <c r="G1" s="21"/>
      <c r="H1" s="21"/>
      <c r="I1" s="20"/>
      <c r="J1" s="20"/>
      <c r="K1" s="21"/>
      <c r="L1" s="21"/>
      <c r="M1" s="21"/>
      <c r="N1" s="21"/>
      <c r="O1" s="21"/>
      <c r="P1" s="21"/>
      <c r="Q1" s="21"/>
      <c r="R1" s="21"/>
    </row>
    <row r="2" spans="1:18" ht="15.75" customHeight="1">
      <c r="A2" s="22"/>
      <c r="B2" s="73" t="s">
        <v>28</v>
      </c>
      <c r="C2" s="74"/>
      <c r="D2" s="75"/>
      <c r="E2" s="75"/>
      <c r="F2" s="75"/>
      <c r="G2" s="75"/>
      <c r="H2" s="76"/>
      <c r="I2" s="24"/>
      <c r="J2" s="25"/>
      <c r="K2" s="26"/>
      <c r="L2" s="73" t="s">
        <v>29</v>
      </c>
      <c r="M2" s="74"/>
      <c r="N2" s="75"/>
      <c r="O2" s="75"/>
      <c r="P2" s="75"/>
      <c r="Q2" s="75"/>
      <c r="R2" s="76"/>
    </row>
    <row r="3" spans="1:18" ht="15.75" customHeight="1">
      <c r="A3" s="26"/>
      <c r="B3" s="27" t="s">
        <v>30</v>
      </c>
      <c r="C3" s="27" t="s">
        <v>31</v>
      </c>
      <c r="D3" s="27" t="s">
        <v>32</v>
      </c>
      <c r="E3" s="28"/>
      <c r="F3" s="29"/>
      <c r="G3" s="29"/>
      <c r="H3" s="29"/>
      <c r="I3" s="20"/>
      <c r="J3" s="25"/>
      <c r="K3" s="26"/>
      <c r="L3" s="27" t="s">
        <v>30</v>
      </c>
      <c r="M3" s="27" t="s">
        <v>31</v>
      </c>
      <c r="N3" s="27" t="s">
        <v>32</v>
      </c>
      <c r="O3" s="26"/>
      <c r="P3" s="27" t="s">
        <v>30</v>
      </c>
      <c r="Q3" s="27" t="s">
        <v>31</v>
      </c>
      <c r="R3" s="27" t="s">
        <v>32</v>
      </c>
    </row>
    <row r="4" spans="1:18" ht="15.75" customHeight="1">
      <c r="A4" s="27" t="s">
        <v>33</v>
      </c>
      <c r="B4" s="30">
        <v>20000</v>
      </c>
      <c r="C4" s="31"/>
      <c r="D4" s="32">
        <v>5800</v>
      </c>
      <c r="E4" s="24"/>
      <c r="F4" s="20"/>
      <c r="G4" s="20"/>
      <c r="H4" s="20"/>
      <c r="I4" s="20"/>
      <c r="J4" s="25"/>
      <c r="K4" s="27" t="s">
        <v>34</v>
      </c>
      <c r="L4" s="30">
        <v>3000</v>
      </c>
      <c r="M4" s="32"/>
      <c r="N4" s="32">
        <v>4445</v>
      </c>
      <c r="O4" s="27" t="s">
        <v>35</v>
      </c>
      <c r="P4" s="33">
        <f>21600</f>
        <v>21600</v>
      </c>
      <c r="Q4" s="34"/>
      <c r="R4" s="35">
        <f>P4*M6</f>
        <v>53136</v>
      </c>
    </row>
    <row r="5" spans="1:18" ht="15.75" customHeight="1">
      <c r="A5" s="27" t="s">
        <v>36</v>
      </c>
      <c r="B5" s="30">
        <v>20000</v>
      </c>
      <c r="C5" s="36">
        <f>'Centre dAnalyse'!D9</f>
        <v>7.0000000000000007E-2</v>
      </c>
      <c r="D5" s="32">
        <f>B5*C5</f>
        <v>1400.0000000000002</v>
      </c>
      <c r="E5" s="24"/>
      <c r="F5" s="20"/>
      <c r="G5" s="20"/>
      <c r="H5" s="20"/>
      <c r="I5" s="20"/>
      <c r="J5" s="25"/>
      <c r="K5" s="27" t="s">
        <v>37</v>
      </c>
      <c r="L5" s="37">
        <f>B32</f>
        <v>23000</v>
      </c>
      <c r="M5" s="38">
        <f>C32</f>
        <v>2.5928260869565216</v>
      </c>
      <c r="N5" s="39">
        <f>D32</f>
        <v>59635</v>
      </c>
      <c r="O5" s="27" t="s">
        <v>38</v>
      </c>
      <c r="P5" s="30">
        <f>L6-P4</f>
        <v>4400</v>
      </c>
      <c r="Q5" s="32"/>
      <c r="R5" s="32">
        <f>P5*M6</f>
        <v>10824</v>
      </c>
    </row>
    <row r="6" spans="1:18" ht="17" customHeight="1">
      <c r="A6" s="40" t="s">
        <v>39</v>
      </c>
      <c r="B6" s="41">
        <f>B5</f>
        <v>20000</v>
      </c>
      <c r="C6" s="42">
        <f>D6/B6</f>
        <v>0.36</v>
      </c>
      <c r="D6" s="43">
        <f>SUM(D4:D5)</f>
        <v>7200</v>
      </c>
      <c r="E6" s="44"/>
      <c r="F6" s="21"/>
      <c r="G6" s="21"/>
      <c r="H6" s="21"/>
      <c r="I6" s="20"/>
      <c r="J6" s="25"/>
      <c r="K6" s="27" t="s">
        <v>40</v>
      </c>
      <c r="L6" s="30">
        <f>SUM(L4:L5)</f>
        <v>26000</v>
      </c>
      <c r="M6" s="67">
        <v>2.46</v>
      </c>
      <c r="N6" s="32">
        <f>SUM(N4:N5)</f>
        <v>64080</v>
      </c>
      <c r="O6" s="27" t="s">
        <v>40</v>
      </c>
      <c r="P6" s="30">
        <f>SUM(P4:P5)</f>
        <v>26000</v>
      </c>
      <c r="Q6" s="36">
        <f>R6/P6</f>
        <v>2.46</v>
      </c>
      <c r="R6" s="32">
        <f>SUM(R4:R5)</f>
        <v>63960</v>
      </c>
    </row>
    <row r="7" spans="1:18" ht="15.75" customHeight="1">
      <c r="A7" s="26"/>
      <c r="B7" s="73" t="s">
        <v>41</v>
      </c>
      <c r="C7" s="74"/>
      <c r="D7" s="75"/>
      <c r="E7" s="75"/>
      <c r="F7" s="75"/>
      <c r="G7" s="75"/>
      <c r="H7" s="76"/>
      <c r="I7" s="24"/>
      <c r="J7" s="20"/>
      <c r="K7" s="23"/>
      <c r="L7" s="23"/>
      <c r="M7" s="23"/>
      <c r="N7" s="23"/>
      <c r="O7" s="23"/>
      <c r="P7" s="23"/>
      <c r="Q7" s="23"/>
      <c r="R7" s="23"/>
    </row>
    <row r="8" spans="1:18" ht="15.75" customHeight="1">
      <c r="A8" s="26"/>
      <c r="B8" s="27" t="s">
        <v>30</v>
      </c>
      <c r="C8" s="27" t="s">
        <v>31</v>
      </c>
      <c r="D8" s="27" t="s">
        <v>32</v>
      </c>
      <c r="E8" s="26"/>
      <c r="F8" s="27" t="s">
        <v>30</v>
      </c>
      <c r="G8" s="27" t="s">
        <v>31</v>
      </c>
      <c r="H8" s="27" t="s">
        <v>32</v>
      </c>
      <c r="I8" s="24"/>
      <c r="J8" s="25"/>
      <c r="K8" s="26"/>
      <c r="L8" s="73" t="s">
        <v>42</v>
      </c>
      <c r="M8" s="74"/>
      <c r="N8" s="75"/>
      <c r="O8" s="75"/>
      <c r="P8" s="75"/>
      <c r="Q8" s="75"/>
      <c r="R8" s="76"/>
    </row>
    <row r="9" spans="1:18" ht="15.75" customHeight="1">
      <c r="A9" s="27" t="s">
        <v>34</v>
      </c>
      <c r="B9" s="30">
        <v>5000</v>
      </c>
      <c r="C9" s="32"/>
      <c r="D9" s="32">
        <v>1300</v>
      </c>
      <c r="E9" s="27" t="s">
        <v>35</v>
      </c>
      <c r="F9" s="45">
        <f>20000+3000</f>
        <v>23000</v>
      </c>
      <c r="G9" s="46">
        <f>G11</f>
        <v>0.34</v>
      </c>
      <c r="H9" s="47">
        <f>F9*C11</f>
        <v>7820.0000000000009</v>
      </c>
      <c r="I9" s="24"/>
      <c r="J9" s="25"/>
      <c r="K9" s="26"/>
      <c r="L9" s="27" t="s">
        <v>30</v>
      </c>
      <c r="M9" s="27" t="s">
        <v>31</v>
      </c>
      <c r="N9" s="27" t="s">
        <v>32</v>
      </c>
      <c r="O9" s="26"/>
      <c r="P9" s="27" t="s">
        <v>30</v>
      </c>
      <c r="Q9" s="27" t="s">
        <v>31</v>
      </c>
      <c r="R9" s="27" t="s">
        <v>32</v>
      </c>
    </row>
    <row r="10" spans="1:18" ht="15.75" customHeight="1">
      <c r="A10" s="27" t="s">
        <v>37</v>
      </c>
      <c r="B10" s="41">
        <f>B6</f>
        <v>20000</v>
      </c>
      <c r="C10" s="42">
        <f>C6</f>
        <v>0.36</v>
      </c>
      <c r="D10" s="43">
        <f>D6</f>
        <v>7200</v>
      </c>
      <c r="E10" s="27" t="s">
        <v>38</v>
      </c>
      <c r="F10" s="30">
        <f>2000</f>
        <v>2000</v>
      </c>
      <c r="G10" s="32"/>
      <c r="H10" s="32">
        <f>F10*C11</f>
        <v>680</v>
      </c>
      <c r="I10" s="24"/>
      <c r="J10" s="25"/>
      <c r="K10" s="27" t="s">
        <v>34</v>
      </c>
      <c r="L10" s="30">
        <f>1800</f>
        <v>1800</v>
      </c>
      <c r="M10" s="32"/>
      <c r="N10" s="32">
        <f>7745</f>
        <v>7745</v>
      </c>
      <c r="O10" s="27" t="s">
        <v>35</v>
      </c>
      <c r="P10" s="33">
        <v>3200</v>
      </c>
      <c r="Q10" s="34"/>
      <c r="R10" s="35">
        <f>M12*P10</f>
        <v>18432</v>
      </c>
    </row>
    <row r="11" spans="1:18" ht="15.75" customHeight="1">
      <c r="A11" s="27" t="s">
        <v>40</v>
      </c>
      <c r="B11" s="30">
        <f>SUM(B9:B10)</f>
        <v>25000</v>
      </c>
      <c r="C11" s="36">
        <f>D11/B11</f>
        <v>0.34</v>
      </c>
      <c r="D11" s="32">
        <f>SUM(D9:D10)</f>
        <v>8500</v>
      </c>
      <c r="E11" s="27" t="s">
        <v>40</v>
      </c>
      <c r="F11" s="30">
        <f>SUM(F9:F10)</f>
        <v>25000</v>
      </c>
      <c r="G11" s="36">
        <f>H11/F11</f>
        <v>0.34</v>
      </c>
      <c r="H11" s="32">
        <f>SUM(H9:H10)</f>
        <v>8500</v>
      </c>
      <c r="I11" s="24"/>
      <c r="J11" s="25"/>
      <c r="K11" s="27" t="s">
        <v>37</v>
      </c>
      <c r="L11" s="37">
        <f>E32</f>
        <v>2400</v>
      </c>
      <c r="M11" s="38"/>
      <c r="N11" s="39">
        <f>G32</f>
        <v>16440</v>
      </c>
      <c r="O11" s="27" t="s">
        <v>38</v>
      </c>
      <c r="P11" s="30">
        <f>L12-P10</f>
        <v>1000</v>
      </c>
      <c r="Q11" s="32"/>
      <c r="R11" s="32">
        <f>P11*M12</f>
        <v>5760</v>
      </c>
    </row>
    <row r="12" spans="1:18" ht="15.75" customHeight="1">
      <c r="A12" s="29"/>
      <c r="B12" s="23"/>
      <c r="C12" s="23"/>
      <c r="D12" s="23"/>
      <c r="E12" s="23"/>
      <c r="F12" s="23"/>
      <c r="G12" s="23"/>
      <c r="H12" s="23"/>
      <c r="I12" s="20"/>
      <c r="J12" s="25"/>
      <c r="K12" s="27" t="s">
        <v>40</v>
      </c>
      <c r="L12" s="30">
        <f>SUM(L10:L11)</f>
        <v>4200</v>
      </c>
      <c r="M12" s="36">
        <v>5.76</v>
      </c>
      <c r="N12" s="32">
        <f>SUM(N10:N11)</f>
        <v>24185</v>
      </c>
      <c r="O12" s="27" t="s">
        <v>40</v>
      </c>
      <c r="P12" s="30">
        <f>SUM(P10:P11)</f>
        <v>4200</v>
      </c>
      <c r="Q12" s="36">
        <f>R12/P12</f>
        <v>5.76</v>
      </c>
      <c r="R12" s="32">
        <f>SUM(R10:R11)</f>
        <v>24192</v>
      </c>
    </row>
    <row r="13" spans="1:18" ht="15.75" customHeight="1">
      <c r="A13" s="22"/>
      <c r="B13" s="73" t="s">
        <v>43</v>
      </c>
      <c r="C13" s="74"/>
      <c r="D13" s="75"/>
      <c r="E13" s="75"/>
      <c r="F13" s="75"/>
      <c r="G13" s="75"/>
      <c r="H13" s="76"/>
      <c r="I13" s="24"/>
      <c r="J13" s="20"/>
      <c r="K13" s="23"/>
      <c r="L13" s="23"/>
      <c r="M13" s="23"/>
      <c r="N13" s="23"/>
      <c r="O13" s="23"/>
      <c r="P13" s="23"/>
      <c r="Q13" s="23"/>
      <c r="R13" s="29"/>
    </row>
    <row r="14" spans="1:18" ht="15.75" customHeight="1">
      <c r="A14" s="26"/>
      <c r="B14" s="27" t="s">
        <v>30</v>
      </c>
      <c r="C14" s="27" t="s">
        <v>31</v>
      </c>
      <c r="D14" s="27" t="s">
        <v>32</v>
      </c>
      <c r="E14" s="28"/>
      <c r="F14" s="29"/>
      <c r="G14" s="29"/>
      <c r="H14" s="29"/>
      <c r="I14" s="20"/>
      <c r="J14" s="25"/>
      <c r="K14" s="26"/>
      <c r="L14" s="73" t="s">
        <v>44</v>
      </c>
      <c r="M14" s="74"/>
      <c r="N14" s="75"/>
      <c r="O14" s="75"/>
      <c r="P14" s="75"/>
      <c r="Q14" s="76"/>
      <c r="R14" s="24"/>
    </row>
    <row r="15" spans="1:18" ht="15.75" customHeight="1">
      <c r="A15" s="27" t="s">
        <v>33</v>
      </c>
      <c r="B15" s="30">
        <v>6000</v>
      </c>
      <c r="C15" s="31"/>
      <c r="D15" s="32">
        <v>1560</v>
      </c>
      <c r="E15" s="24"/>
      <c r="F15" s="20"/>
      <c r="G15" s="20"/>
      <c r="H15" s="20"/>
      <c r="I15" s="20"/>
      <c r="J15" s="25"/>
      <c r="K15" s="26"/>
      <c r="L15" s="77" t="s">
        <v>45</v>
      </c>
      <c r="M15" s="75"/>
      <c r="N15" s="76"/>
      <c r="O15" s="77" t="s">
        <v>46</v>
      </c>
      <c r="P15" s="75"/>
      <c r="Q15" s="76"/>
      <c r="R15" s="24"/>
    </row>
    <row r="16" spans="1:18" ht="15.75" customHeight="1">
      <c r="A16" s="27" t="s">
        <v>36</v>
      </c>
      <c r="B16" s="30">
        <v>6000</v>
      </c>
      <c r="C16" s="36">
        <f>C5</f>
        <v>7.0000000000000007E-2</v>
      </c>
      <c r="D16" s="32">
        <f>C16*B16</f>
        <v>420.00000000000006</v>
      </c>
      <c r="E16" s="24"/>
      <c r="F16" s="20"/>
      <c r="G16" s="20"/>
      <c r="H16" s="20"/>
      <c r="I16" s="20"/>
      <c r="J16" s="25"/>
      <c r="K16" s="26"/>
      <c r="L16" s="48" t="s">
        <v>30</v>
      </c>
      <c r="M16" s="48" t="s">
        <v>31</v>
      </c>
      <c r="N16" s="48" t="s">
        <v>32</v>
      </c>
      <c r="O16" s="48" t="s">
        <v>30</v>
      </c>
      <c r="P16" s="48" t="s">
        <v>31</v>
      </c>
      <c r="Q16" s="48" t="s">
        <v>32</v>
      </c>
      <c r="R16" s="24"/>
    </row>
    <row r="17" spans="1:18" ht="24.65" customHeight="1">
      <c r="A17" s="40" t="s">
        <v>39</v>
      </c>
      <c r="B17" s="41">
        <f>6000</f>
        <v>6000</v>
      </c>
      <c r="C17" s="42">
        <f>D17/B17</f>
        <v>0.33</v>
      </c>
      <c r="D17" s="43">
        <f>SUM(D15:D16)</f>
        <v>1980</v>
      </c>
      <c r="E17" s="44"/>
      <c r="F17" s="21"/>
      <c r="G17" s="21"/>
      <c r="H17" s="21"/>
      <c r="I17" s="20"/>
      <c r="J17" s="25"/>
      <c r="K17" s="49" t="s">
        <v>47</v>
      </c>
      <c r="L17" s="50">
        <f>P4</f>
        <v>21600</v>
      </c>
      <c r="M17" s="51"/>
      <c r="N17" s="52">
        <f>R4</f>
        <v>53136</v>
      </c>
      <c r="O17" s="50">
        <f>P10</f>
        <v>3200</v>
      </c>
      <c r="P17" s="51"/>
      <c r="Q17" s="52">
        <f>R10</f>
        <v>18432</v>
      </c>
      <c r="R17" s="68"/>
    </row>
    <row r="18" spans="1:18" ht="15.75" customHeight="1">
      <c r="A18" s="26"/>
      <c r="B18" s="73" t="s">
        <v>48</v>
      </c>
      <c r="C18" s="74"/>
      <c r="D18" s="75"/>
      <c r="E18" s="75"/>
      <c r="F18" s="75"/>
      <c r="G18" s="75"/>
      <c r="H18" s="76"/>
      <c r="I18" s="24"/>
      <c r="J18" s="25"/>
      <c r="K18" s="48" t="s">
        <v>49</v>
      </c>
      <c r="L18" s="53">
        <f>21600</f>
        <v>21600</v>
      </c>
      <c r="M18" s="53">
        <f>'Centre dAnalyse'!G9</f>
        <v>0.14000000000000001</v>
      </c>
      <c r="N18" s="53">
        <f>L18*M18</f>
        <v>3024.0000000000005</v>
      </c>
      <c r="O18" s="53">
        <f>3200</f>
        <v>3200</v>
      </c>
      <c r="P18" s="53">
        <f>M18</f>
        <v>0.14000000000000001</v>
      </c>
      <c r="Q18" s="53">
        <f>O18*P18</f>
        <v>448.00000000000006</v>
      </c>
      <c r="R18" s="24"/>
    </row>
    <row r="19" spans="1:18" ht="15.75" customHeight="1">
      <c r="A19" s="26"/>
      <c r="B19" s="27" t="s">
        <v>30</v>
      </c>
      <c r="C19" s="27" t="s">
        <v>31</v>
      </c>
      <c r="D19" s="27" t="s">
        <v>32</v>
      </c>
      <c r="E19" s="26"/>
      <c r="F19" s="27" t="s">
        <v>30</v>
      </c>
      <c r="G19" s="27" t="s">
        <v>31</v>
      </c>
      <c r="H19" s="27" t="s">
        <v>32</v>
      </c>
      <c r="I19" s="24"/>
      <c r="J19" s="25"/>
      <c r="K19" s="48" t="s">
        <v>50</v>
      </c>
      <c r="L19" s="31">
        <f>R4</f>
        <v>53136</v>
      </c>
      <c r="M19" s="54">
        <v>4.9000000000000002E-2</v>
      </c>
      <c r="N19" s="53">
        <f>L19*M19</f>
        <v>2603.6640000000002</v>
      </c>
      <c r="O19" s="31">
        <f>R10</f>
        <v>18432</v>
      </c>
      <c r="P19" s="54">
        <v>4.9000000000000002E-2</v>
      </c>
      <c r="Q19" s="53">
        <f>R10*P19</f>
        <v>903.16800000000001</v>
      </c>
      <c r="R19" s="24"/>
    </row>
    <row r="20" spans="1:18" ht="15.75" customHeight="1">
      <c r="A20" s="27" t="s">
        <v>34</v>
      </c>
      <c r="B20" s="30">
        <v>3000</v>
      </c>
      <c r="C20" s="32"/>
      <c r="D20" s="32">
        <v>720</v>
      </c>
      <c r="E20" s="27" t="s">
        <v>35</v>
      </c>
      <c r="F20" s="45">
        <f>1600+4000</f>
        <v>5600</v>
      </c>
      <c r="G20" s="46">
        <f>G22</f>
        <v>0.3</v>
      </c>
      <c r="H20" s="47">
        <f>F20*C22</f>
        <v>1680</v>
      </c>
      <c r="I20" s="24"/>
      <c r="J20" s="25"/>
      <c r="K20" s="55" t="s">
        <v>51</v>
      </c>
      <c r="L20" s="53">
        <f>L17</f>
        <v>21600</v>
      </c>
      <c r="M20" s="56">
        <f>N20/L20</f>
        <v>2.7205399999999997</v>
      </c>
      <c r="N20" s="31">
        <f>SUM(N17:N19)</f>
        <v>58763.663999999997</v>
      </c>
      <c r="O20" s="53">
        <f>O17</f>
        <v>3200</v>
      </c>
      <c r="P20" s="56">
        <f>Q20/O20</f>
        <v>6.1822400000000002</v>
      </c>
      <c r="Q20" s="31">
        <f>SUM(Q17:Q19)</f>
        <v>19783.168000000001</v>
      </c>
      <c r="R20" s="24"/>
    </row>
    <row r="21" spans="1:18" ht="15.75" customHeight="1">
      <c r="A21" s="27" t="s">
        <v>37</v>
      </c>
      <c r="B21" s="41">
        <f>B17</f>
        <v>6000</v>
      </c>
      <c r="C21" s="43"/>
      <c r="D21" s="43">
        <f>D17</f>
        <v>1980</v>
      </c>
      <c r="E21" s="27" t="s">
        <v>38</v>
      </c>
      <c r="F21" s="30">
        <f>B22-F20</f>
        <v>3400</v>
      </c>
      <c r="G21" s="32"/>
      <c r="H21" s="32">
        <f>F21*C22</f>
        <v>1020</v>
      </c>
      <c r="I21" s="24"/>
      <c r="J21" s="20"/>
      <c r="K21" s="29"/>
      <c r="L21" s="23"/>
      <c r="M21" s="23"/>
      <c r="N21" s="23"/>
      <c r="O21" s="23"/>
      <c r="P21" s="23"/>
      <c r="Q21" s="23"/>
      <c r="R21" s="20"/>
    </row>
    <row r="22" spans="1:18" ht="15.75" customHeight="1">
      <c r="A22" s="27" t="s">
        <v>40</v>
      </c>
      <c r="B22" s="30">
        <f>SUM(B20:B21)</f>
        <v>9000</v>
      </c>
      <c r="C22" s="36">
        <f>D22/B22</f>
        <v>0.3</v>
      </c>
      <c r="D22" s="32">
        <f>SUM(D20:D21)</f>
        <v>2700</v>
      </c>
      <c r="E22" s="27" t="s">
        <v>40</v>
      </c>
      <c r="F22" s="30">
        <f>SUM(F20:F21)</f>
        <v>9000</v>
      </c>
      <c r="G22" s="36">
        <f>H22/F22</f>
        <v>0.3</v>
      </c>
      <c r="H22" s="32">
        <f>SUM(H20:H21)</f>
        <v>2700</v>
      </c>
      <c r="I22" s="24"/>
      <c r="J22" s="20"/>
      <c r="K22" s="25"/>
      <c r="L22" s="73" t="s">
        <v>52</v>
      </c>
      <c r="M22" s="74"/>
      <c r="N22" s="75"/>
      <c r="O22" s="75"/>
      <c r="P22" s="75"/>
      <c r="Q22" s="76"/>
      <c r="R22" s="24"/>
    </row>
    <row r="23" spans="1:18" ht="15.75" customHeight="1">
      <c r="A23" s="23"/>
      <c r="B23" s="23"/>
      <c r="C23" s="23"/>
      <c r="D23" s="23"/>
      <c r="E23" s="23"/>
      <c r="F23" s="23"/>
      <c r="G23" s="23"/>
      <c r="H23" s="29"/>
      <c r="I23" s="20"/>
      <c r="J23" s="20"/>
      <c r="K23" s="22"/>
      <c r="L23" s="77" t="s">
        <v>45</v>
      </c>
      <c r="M23" s="75"/>
      <c r="N23" s="76"/>
      <c r="O23" s="77" t="s">
        <v>46</v>
      </c>
      <c r="P23" s="75"/>
      <c r="Q23" s="76"/>
      <c r="R23" s="24"/>
    </row>
    <row r="24" spans="1:18" ht="15.75" customHeight="1">
      <c r="A24" s="26"/>
      <c r="B24" s="73" t="s">
        <v>53</v>
      </c>
      <c r="C24" s="74"/>
      <c r="D24" s="75"/>
      <c r="E24" s="75"/>
      <c r="F24" s="75"/>
      <c r="G24" s="76"/>
      <c r="H24" s="24"/>
      <c r="I24" s="20"/>
      <c r="J24" s="25"/>
      <c r="K24" s="26"/>
      <c r="L24" s="48" t="s">
        <v>30</v>
      </c>
      <c r="M24" s="48" t="s">
        <v>31</v>
      </c>
      <c r="N24" s="48" t="s">
        <v>32</v>
      </c>
      <c r="O24" s="48" t="s">
        <v>30</v>
      </c>
      <c r="P24" s="48" t="s">
        <v>31</v>
      </c>
      <c r="Q24" s="48" t="s">
        <v>32</v>
      </c>
      <c r="R24" s="24"/>
    </row>
    <row r="25" spans="1:18" ht="15.75" customHeight="1">
      <c r="A25" s="26"/>
      <c r="B25" s="77" t="s">
        <v>45</v>
      </c>
      <c r="C25" s="75"/>
      <c r="D25" s="76"/>
      <c r="E25" s="77" t="s">
        <v>46</v>
      </c>
      <c r="F25" s="75"/>
      <c r="G25" s="76"/>
      <c r="H25" s="24"/>
      <c r="I25" s="20"/>
      <c r="J25" s="25"/>
      <c r="K25" s="48" t="s">
        <v>51</v>
      </c>
      <c r="L25" s="53">
        <f>L20</f>
        <v>21600</v>
      </c>
      <c r="M25" s="26"/>
      <c r="N25" s="31">
        <f>N20</f>
        <v>58763.663999999997</v>
      </c>
      <c r="O25" s="53">
        <f>O20</f>
        <v>3200</v>
      </c>
      <c r="P25" s="26"/>
      <c r="Q25" s="31">
        <f>Q20</f>
        <v>19783.168000000001</v>
      </c>
      <c r="R25" s="24"/>
    </row>
    <row r="26" spans="1:18" ht="15.75" customHeight="1">
      <c r="A26" s="26"/>
      <c r="B26" s="48" t="s">
        <v>30</v>
      </c>
      <c r="C26" s="48" t="s">
        <v>31</v>
      </c>
      <c r="D26" s="48" t="s">
        <v>32</v>
      </c>
      <c r="E26" s="48" t="s">
        <v>30</v>
      </c>
      <c r="F26" s="48" t="s">
        <v>31</v>
      </c>
      <c r="G26" s="48" t="s">
        <v>32</v>
      </c>
      <c r="H26" s="24"/>
      <c r="I26" s="20"/>
      <c r="J26" s="25"/>
      <c r="K26" s="48" t="s">
        <v>54</v>
      </c>
      <c r="L26" s="53">
        <f>L25</f>
        <v>21600</v>
      </c>
      <c r="M26" s="53">
        <f>N26/L26</f>
        <v>3</v>
      </c>
      <c r="N26" s="53">
        <f>L26*3</f>
        <v>64800</v>
      </c>
      <c r="O26" s="53">
        <f>O25</f>
        <v>3200</v>
      </c>
      <c r="P26" s="53">
        <f>Q26/O26</f>
        <v>6</v>
      </c>
      <c r="Q26" s="53">
        <f>O26*6</f>
        <v>19200</v>
      </c>
      <c r="R26" s="24"/>
    </row>
    <row r="27" spans="1:18" ht="15.75" customHeight="1">
      <c r="A27" s="48" t="s">
        <v>55</v>
      </c>
      <c r="B27" s="53">
        <f>20000</f>
        <v>20000</v>
      </c>
      <c r="C27" s="26"/>
      <c r="D27" s="57">
        <f>B27*G9</f>
        <v>6800.0000000000009</v>
      </c>
      <c r="E27" s="53">
        <f>3000</f>
        <v>3000</v>
      </c>
      <c r="F27" s="26"/>
      <c r="G27" s="57">
        <f>E27*G9</f>
        <v>1020.0000000000001</v>
      </c>
      <c r="H27" s="24"/>
      <c r="I27" s="20"/>
      <c r="J27" s="25"/>
      <c r="K27" s="55" t="s">
        <v>52</v>
      </c>
      <c r="L27" s="58">
        <f>L26</f>
        <v>21600</v>
      </c>
      <c r="M27" s="59">
        <f>N27/L27</f>
        <v>0.27946000000000015</v>
      </c>
      <c r="N27" s="60">
        <f>N26-N25</f>
        <v>6036.336000000003</v>
      </c>
      <c r="O27" s="58">
        <f>O26</f>
        <v>3200</v>
      </c>
      <c r="P27" s="59">
        <f>Q27/O27</f>
        <v>-0.18224000000000046</v>
      </c>
      <c r="Q27" s="60">
        <f>Q26-Q25</f>
        <v>-583.16800000000148</v>
      </c>
      <c r="R27" s="24"/>
    </row>
    <row r="28" spans="1:18" ht="15.75" customHeight="1">
      <c r="A28" s="48" t="s">
        <v>56</v>
      </c>
      <c r="B28" s="53">
        <f>4000</f>
        <v>4000</v>
      </c>
      <c r="C28" s="26"/>
      <c r="D28" s="57">
        <f>B28*G20</f>
        <v>1200</v>
      </c>
      <c r="E28" s="53">
        <f>1600</f>
        <v>1600</v>
      </c>
      <c r="F28" s="26"/>
      <c r="G28" s="57">
        <f>E28*G20</f>
        <v>480</v>
      </c>
      <c r="H28" s="24"/>
      <c r="I28" s="20"/>
      <c r="J28" s="25"/>
      <c r="K28" s="61" t="s">
        <v>57</v>
      </c>
      <c r="L28" s="69">
        <f>N27+Q27</f>
        <v>5453.1680000000015</v>
      </c>
      <c r="M28" s="70"/>
      <c r="N28" s="71"/>
      <c r="O28" s="71"/>
      <c r="P28" s="71"/>
      <c r="Q28" s="72"/>
      <c r="R28" s="62"/>
    </row>
    <row r="29" spans="1:18" ht="15.75" customHeight="1">
      <c r="A29" s="48" t="s">
        <v>58</v>
      </c>
      <c r="B29" s="53">
        <f>2300</f>
        <v>2300</v>
      </c>
      <c r="C29" s="53">
        <f>'Centre dAnalyse'!E9</f>
        <v>3.45</v>
      </c>
      <c r="D29" s="53">
        <f>C29*B29</f>
        <v>7935</v>
      </c>
      <c r="E29" s="53">
        <f>600</f>
        <v>600</v>
      </c>
      <c r="F29" s="53">
        <f>'Centre dAnalyse'!F9</f>
        <v>2.9</v>
      </c>
      <c r="G29" s="53">
        <f>F29*E29</f>
        <v>1740</v>
      </c>
      <c r="H29" s="24"/>
      <c r="I29" s="20"/>
      <c r="J29" s="20"/>
      <c r="K29" s="29"/>
      <c r="L29" s="63"/>
      <c r="M29" s="63"/>
      <c r="N29" s="63"/>
      <c r="O29" s="63"/>
      <c r="P29" s="63"/>
      <c r="Q29" s="63"/>
      <c r="R29" s="20"/>
    </row>
    <row r="30" spans="1:18" ht="15.75" customHeight="1">
      <c r="A30" s="48" t="s">
        <v>3</v>
      </c>
      <c r="B30" s="53">
        <v>2300</v>
      </c>
      <c r="C30" s="53">
        <v>19</v>
      </c>
      <c r="D30" s="53">
        <f>B30*C30</f>
        <v>43700</v>
      </c>
      <c r="E30" s="48" t="s">
        <v>59</v>
      </c>
      <c r="F30" s="48" t="s">
        <v>59</v>
      </c>
      <c r="G30" s="48" t="s">
        <v>59</v>
      </c>
      <c r="H30" s="24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15.75" customHeight="1">
      <c r="A31" s="48" t="s">
        <v>4</v>
      </c>
      <c r="B31" s="48" t="s">
        <v>59</v>
      </c>
      <c r="C31" s="48" t="s">
        <v>59</v>
      </c>
      <c r="D31" s="48" t="s">
        <v>59</v>
      </c>
      <c r="E31" s="64">
        <v>600</v>
      </c>
      <c r="F31" s="64">
        <v>22</v>
      </c>
      <c r="G31" s="64">
        <f>600*F31</f>
        <v>13200</v>
      </c>
      <c r="H31" s="24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ht="35.75" customHeight="1">
      <c r="A32" s="40" t="s">
        <v>53</v>
      </c>
      <c r="B32" s="65">
        <f>23000</f>
        <v>23000</v>
      </c>
      <c r="C32" s="66">
        <f>D32/B32</f>
        <v>2.5928260869565216</v>
      </c>
      <c r="D32" s="66">
        <f>SUM(D27:D30)</f>
        <v>59635</v>
      </c>
      <c r="E32" s="65">
        <f>2400</f>
        <v>2400</v>
      </c>
      <c r="F32" s="66">
        <f>G32/E32</f>
        <v>6.85</v>
      </c>
      <c r="G32" s="66">
        <f>SUM(G27:G31)</f>
        <v>16440</v>
      </c>
      <c r="H32" s="24"/>
      <c r="I32" s="20"/>
      <c r="J32" s="20"/>
      <c r="K32" s="20"/>
      <c r="L32" s="20"/>
      <c r="M32" s="20"/>
      <c r="N32" s="20"/>
      <c r="O32" s="20"/>
      <c r="P32" s="20"/>
      <c r="Q32" s="20"/>
      <c r="R32" s="20"/>
    </row>
  </sheetData>
  <mergeCells count="16">
    <mergeCell ref="L28:Q28"/>
    <mergeCell ref="L14:Q14"/>
    <mergeCell ref="B25:D25"/>
    <mergeCell ref="B2:H2"/>
    <mergeCell ref="L8:R8"/>
    <mergeCell ref="B18:H18"/>
    <mergeCell ref="B7:H7"/>
    <mergeCell ref="O23:Q23"/>
    <mergeCell ref="L2:R2"/>
    <mergeCell ref="B13:H13"/>
    <mergeCell ref="E25:G25"/>
    <mergeCell ref="B24:G24"/>
    <mergeCell ref="L23:N23"/>
    <mergeCell ref="L22:Q22"/>
    <mergeCell ref="O15:Q15"/>
    <mergeCell ref="L15:N15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Centre dAnalyse</vt:lpstr>
      <vt:lpstr>Calcul des coûts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Cappeau</dc:creator>
  <cp:lastModifiedBy>n.a.</cp:lastModifiedBy>
  <dcterms:created xsi:type="dcterms:W3CDTF">2021-10-19T13:38:02Z</dcterms:created>
  <dcterms:modified xsi:type="dcterms:W3CDTF">2023-01-27T14:18:13Z</dcterms:modified>
</cp:coreProperties>
</file>