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s\Downloads\"/>
    </mc:Choice>
  </mc:AlternateContent>
  <bookViews>
    <workbookView xWindow="0" yWindow="0" windowWidth="19200" windowHeight="6180"/>
  </bookViews>
  <sheets>
    <sheet name="tableau 1 et 2" sheetId="1" r:id="rId1"/>
    <sheet name="1bis e 2 bis" sheetId="2" r:id="rId2"/>
    <sheet name="1ter et 2 ter" sheetId="4" r:id="rId3"/>
    <sheet name="1 quatro 2 quatro" sheetId="3" r:id="rId4"/>
    <sheet name="1 quinques 2 quinques" sheetId="5" r:id="rId5"/>
  </sheets>
  <calcPr calcId="162913" concurrentCalc="0"/>
</workbook>
</file>

<file path=xl/calcChain.xml><?xml version="1.0" encoding="utf-8"?>
<calcChain xmlns="http://schemas.openxmlformats.org/spreadsheetml/2006/main">
  <c r="G10" i="5" l="1"/>
  <c r="H11" i="3"/>
  <c r="G7" i="4"/>
  <c r="G10" i="4"/>
  <c r="G11" i="4"/>
  <c r="E33" i="2"/>
  <c r="F33" i="2"/>
  <c r="G33" i="2"/>
  <c r="G35" i="2"/>
  <c r="G36" i="2"/>
  <c r="G38" i="2"/>
  <c r="B33" i="2"/>
  <c r="D33" i="2"/>
  <c r="D35" i="2"/>
  <c r="D36" i="2"/>
  <c r="D38" i="2"/>
  <c r="H38" i="2"/>
  <c r="H10" i="2"/>
  <c r="H11" i="2"/>
  <c r="G10" i="2"/>
  <c r="G11" i="2"/>
  <c r="E10" i="2"/>
  <c r="E11" i="2"/>
  <c r="D10" i="2"/>
  <c r="D11" i="2"/>
  <c r="E6" i="5"/>
  <c r="F6" i="5"/>
  <c r="G6" i="5"/>
  <c r="D6" i="5"/>
  <c r="B6" i="5"/>
  <c r="D5" i="5"/>
  <c r="C5" i="5"/>
  <c r="G5" i="5"/>
  <c r="H5" i="3"/>
  <c r="H7" i="4"/>
  <c r="C29" i="2"/>
  <c r="D29" i="2"/>
  <c r="C30" i="2"/>
  <c r="D30" i="2"/>
  <c r="C32" i="2"/>
  <c r="D32" i="2"/>
  <c r="C33" i="2"/>
  <c r="G5" i="2"/>
  <c r="E36" i="5"/>
  <c r="E37" i="5"/>
  <c r="G37" i="5"/>
  <c r="D7" i="5"/>
  <c r="D10" i="5"/>
  <c r="D11" i="5"/>
  <c r="C29" i="5"/>
  <c r="F29" i="5"/>
  <c r="G29" i="5"/>
  <c r="E7" i="5"/>
  <c r="E10" i="5"/>
  <c r="E11" i="5"/>
  <c r="C30" i="5"/>
  <c r="F30" i="5"/>
  <c r="E30" i="5"/>
  <c r="G30" i="5"/>
  <c r="F7" i="5"/>
  <c r="F10" i="5"/>
  <c r="F11" i="5"/>
  <c r="C31" i="5"/>
  <c r="F31" i="5"/>
  <c r="E31" i="5"/>
  <c r="G31" i="5"/>
  <c r="G7" i="5"/>
  <c r="G11" i="5"/>
  <c r="C32" i="5"/>
  <c r="F32" i="5"/>
  <c r="G32" i="5"/>
  <c r="H7" i="5"/>
  <c r="H10" i="5"/>
  <c r="H11" i="5"/>
  <c r="F33" i="5"/>
  <c r="E33" i="5"/>
  <c r="G33" i="5"/>
  <c r="G35" i="5"/>
  <c r="E20" i="5"/>
  <c r="G20" i="5"/>
  <c r="E22" i="5"/>
  <c r="G22" i="5"/>
  <c r="E23" i="5"/>
  <c r="G23" i="5"/>
  <c r="E26" i="5"/>
  <c r="G26" i="5"/>
  <c r="G27" i="5"/>
  <c r="G36" i="5"/>
  <c r="G38" i="5"/>
  <c r="B27" i="5"/>
  <c r="B36" i="5"/>
  <c r="B37" i="5"/>
  <c r="D37" i="5"/>
  <c r="B29" i="5"/>
  <c r="D29" i="5"/>
  <c r="B30" i="5"/>
  <c r="D30" i="5"/>
  <c r="B31" i="5"/>
  <c r="D31" i="5"/>
  <c r="D32" i="5"/>
  <c r="C33" i="5"/>
  <c r="B33" i="5"/>
  <c r="D33" i="5"/>
  <c r="D35" i="5"/>
  <c r="B19" i="5"/>
  <c r="D19" i="5"/>
  <c r="B21" i="5"/>
  <c r="D21" i="5"/>
  <c r="B23" i="5"/>
  <c r="D23" i="5"/>
  <c r="B26" i="5"/>
  <c r="D26" i="5"/>
  <c r="D27" i="5"/>
  <c r="D36" i="5"/>
  <c r="D38" i="5"/>
  <c r="H38" i="5"/>
  <c r="F36" i="5"/>
  <c r="F38" i="5"/>
  <c r="E38" i="5"/>
  <c r="C36" i="5"/>
  <c r="C38" i="5"/>
  <c r="B38" i="5"/>
  <c r="F27" i="5"/>
  <c r="C27" i="5"/>
  <c r="C7" i="5"/>
  <c r="B7" i="5"/>
  <c r="D11" i="3"/>
  <c r="D10" i="3"/>
  <c r="C7" i="3"/>
  <c r="D7" i="3"/>
  <c r="E7" i="3"/>
  <c r="B7" i="3"/>
  <c r="G7" i="2"/>
  <c r="F32" i="2"/>
  <c r="G32" i="2"/>
  <c r="F29" i="2"/>
  <c r="G29" i="2"/>
  <c r="F30" i="2"/>
  <c r="G30" i="2"/>
  <c r="H7" i="2"/>
  <c r="D7" i="4"/>
  <c r="D10" i="4"/>
  <c r="D11" i="4"/>
  <c r="C28" i="4"/>
  <c r="F28" i="4"/>
  <c r="G28" i="4"/>
  <c r="E7" i="4"/>
  <c r="E10" i="4"/>
  <c r="E11" i="4"/>
  <c r="C29" i="4"/>
  <c r="F29" i="4"/>
  <c r="E29" i="4"/>
  <c r="G29" i="4"/>
  <c r="F7" i="4"/>
  <c r="F10" i="4"/>
  <c r="F11" i="4"/>
  <c r="C30" i="4"/>
  <c r="F30" i="4"/>
  <c r="E30" i="4"/>
  <c r="G30" i="4"/>
  <c r="C31" i="4"/>
  <c r="F31" i="4"/>
  <c r="E31" i="4"/>
  <c r="G31" i="4"/>
  <c r="H10" i="4"/>
  <c r="H11" i="4"/>
  <c r="F32" i="4"/>
  <c r="E32" i="4"/>
  <c r="G32" i="4"/>
  <c r="G34" i="4"/>
  <c r="E18" i="4"/>
  <c r="G18" i="4"/>
  <c r="E20" i="4"/>
  <c r="G20" i="4"/>
  <c r="E21" i="4"/>
  <c r="G21" i="4"/>
  <c r="E25" i="4"/>
  <c r="G25" i="4"/>
  <c r="G26" i="4"/>
  <c r="G35" i="4"/>
  <c r="E35" i="4"/>
  <c r="E36" i="4"/>
  <c r="G36" i="4"/>
  <c r="G37" i="4"/>
  <c r="B28" i="4"/>
  <c r="D28" i="4"/>
  <c r="B29" i="4"/>
  <c r="D29" i="4"/>
  <c r="B30" i="4"/>
  <c r="D30" i="4"/>
  <c r="B31" i="4"/>
  <c r="D31" i="4"/>
  <c r="C32" i="4"/>
  <c r="B32" i="4"/>
  <c r="D32" i="4"/>
  <c r="D34" i="4"/>
  <c r="B17" i="4"/>
  <c r="D17" i="4"/>
  <c r="B19" i="4"/>
  <c r="D19" i="4"/>
  <c r="B21" i="4"/>
  <c r="D21" i="4"/>
  <c r="B25" i="4"/>
  <c r="D25" i="4"/>
  <c r="D26" i="4"/>
  <c r="D35" i="4"/>
  <c r="B26" i="4"/>
  <c r="B35" i="4"/>
  <c r="B36" i="4"/>
  <c r="D36" i="4"/>
  <c r="D37" i="4"/>
  <c r="H37" i="4"/>
  <c r="C29" i="3"/>
  <c r="F29" i="3"/>
  <c r="G29" i="3"/>
  <c r="E11" i="3"/>
  <c r="F30" i="3"/>
  <c r="G30" i="3"/>
  <c r="F7" i="3"/>
  <c r="H7" i="3"/>
  <c r="I10" i="3"/>
  <c r="I7" i="3"/>
  <c r="I11" i="3"/>
  <c r="F34" i="3"/>
  <c r="F11" i="3"/>
  <c r="C31" i="3"/>
  <c r="F31" i="3"/>
  <c r="G31" i="3"/>
  <c r="C33" i="3"/>
  <c r="F33" i="3"/>
  <c r="G33" i="3"/>
  <c r="E34" i="3"/>
  <c r="G34" i="3"/>
  <c r="G36" i="3"/>
  <c r="D29" i="3"/>
  <c r="C30" i="3"/>
  <c r="D30" i="3"/>
  <c r="C34" i="3"/>
  <c r="D31" i="3"/>
  <c r="D33" i="3"/>
  <c r="B34" i="3"/>
  <c r="D34" i="3"/>
  <c r="D36" i="3"/>
  <c r="G37" i="3"/>
  <c r="D37" i="3"/>
  <c r="E6" i="3"/>
  <c r="E5" i="3"/>
  <c r="D5" i="3"/>
  <c r="D6" i="3"/>
  <c r="G7" i="3"/>
  <c r="E37" i="3"/>
  <c r="E38" i="3"/>
  <c r="G38" i="3"/>
  <c r="F10" i="3"/>
  <c r="E31" i="3"/>
  <c r="G10" i="3"/>
  <c r="G11" i="3"/>
  <c r="C32" i="3"/>
  <c r="F32" i="3"/>
  <c r="E32" i="3"/>
  <c r="G32" i="3"/>
  <c r="H10" i="3"/>
  <c r="E33" i="3"/>
  <c r="E20" i="3"/>
  <c r="G20" i="3"/>
  <c r="E22" i="3"/>
  <c r="G22" i="3"/>
  <c r="E23" i="3"/>
  <c r="G23" i="3"/>
  <c r="E26" i="3"/>
  <c r="G26" i="3"/>
  <c r="G27" i="3"/>
  <c r="G39" i="3"/>
  <c r="B27" i="3"/>
  <c r="B37" i="3"/>
  <c r="B38" i="3"/>
  <c r="D38" i="3"/>
  <c r="B31" i="3"/>
  <c r="B32" i="3"/>
  <c r="D32" i="3"/>
  <c r="B33" i="3"/>
  <c r="B19" i="3"/>
  <c r="D19" i="3"/>
  <c r="B21" i="3"/>
  <c r="D21" i="3"/>
  <c r="B23" i="3"/>
  <c r="D23" i="3"/>
  <c r="B26" i="3"/>
  <c r="D26" i="3"/>
  <c r="D27" i="3"/>
  <c r="D39" i="3"/>
  <c r="H39" i="3"/>
  <c r="F37" i="3"/>
  <c r="F39" i="3"/>
  <c r="E39" i="3"/>
  <c r="C37" i="3"/>
  <c r="C39" i="3"/>
  <c r="B39" i="3"/>
  <c r="F27" i="3"/>
  <c r="C27" i="3"/>
  <c r="F35" i="4"/>
  <c r="F37" i="4"/>
  <c r="E37" i="4"/>
  <c r="C35" i="4"/>
  <c r="C37" i="4"/>
  <c r="B37" i="4"/>
  <c r="F26" i="4"/>
  <c r="C26" i="4"/>
  <c r="C7" i="4"/>
  <c r="B7" i="4"/>
  <c r="D7" i="2"/>
  <c r="E7" i="2"/>
  <c r="F7" i="2"/>
  <c r="E36" i="2"/>
  <c r="E37" i="2"/>
  <c r="G37" i="2"/>
  <c r="E30" i="2"/>
  <c r="E32" i="2"/>
  <c r="E20" i="2"/>
  <c r="G20" i="2"/>
  <c r="E22" i="2"/>
  <c r="G22" i="2"/>
  <c r="E23" i="2"/>
  <c r="G23" i="2"/>
  <c r="E26" i="2"/>
  <c r="G26" i="2"/>
  <c r="G27" i="2"/>
  <c r="B27" i="2"/>
  <c r="B36" i="2"/>
  <c r="B37" i="2"/>
  <c r="D37" i="2"/>
  <c r="B29" i="2"/>
  <c r="B30" i="2"/>
  <c r="B32" i="2"/>
  <c r="B19" i="2"/>
  <c r="D19" i="2"/>
  <c r="B21" i="2"/>
  <c r="D21" i="2"/>
  <c r="B23" i="2"/>
  <c r="D23" i="2"/>
  <c r="B26" i="2"/>
  <c r="D26" i="2"/>
  <c r="D27" i="2"/>
  <c r="F36" i="2"/>
  <c r="F38" i="2"/>
  <c r="E38" i="2"/>
  <c r="C36" i="2"/>
  <c r="C38" i="2"/>
  <c r="B38" i="2"/>
  <c r="F27" i="2"/>
  <c r="C27" i="2"/>
  <c r="C7" i="2"/>
  <c r="B7" i="2"/>
</calcChain>
</file>

<file path=xl/sharedStrings.xml><?xml version="1.0" encoding="utf-8"?>
<sst xmlns="http://schemas.openxmlformats.org/spreadsheetml/2006/main" count="204" uniqueCount="60">
  <si>
    <t>Transport</t>
  </si>
  <si>
    <t>Ctrl Qlt</t>
  </si>
  <si>
    <t>Admin G</t>
  </si>
  <si>
    <t>Appro</t>
  </si>
  <si>
    <t>Shape</t>
  </si>
  <si>
    <t>Strat</t>
  </si>
  <si>
    <t>Ccial</t>
  </si>
  <si>
    <t>Répartition prim</t>
  </si>
  <si>
    <t>Répart. Second</t>
  </si>
  <si>
    <t>Ctlr Q</t>
  </si>
  <si>
    <t>Total après répart second</t>
  </si>
  <si>
    <t>UO</t>
  </si>
  <si>
    <t>Nb UO</t>
  </si>
  <si>
    <t>Ct par UO</t>
  </si>
  <si>
    <t>Nb commande</t>
  </si>
  <si>
    <t>M2 mousse</t>
  </si>
  <si>
    <t>Nb d'heures</t>
  </si>
  <si>
    <t>CA</t>
  </si>
  <si>
    <t>Charges indirectes</t>
  </si>
  <si>
    <t>LB</t>
  </si>
  <si>
    <t>SB</t>
  </si>
  <si>
    <t>Qté</t>
  </si>
  <si>
    <t xml:space="preserve">PU </t>
  </si>
  <si>
    <t>Total</t>
  </si>
  <si>
    <t>MP</t>
  </si>
  <si>
    <t>Polyuréthane</t>
  </si>
  <si>
    <t>Polystyrène</t>
  </si>
  <si>
    <t>Strat epoxy</t>
  </si>
  <si>
    <t xml:space="preserve">Str polyeter </t>
  </si>
  <si>
    <t>Accessoires</t>
  </si>
  <si>
    <t>Ct acc 1</t>
  </si>
  <si>
    <t>Ct acce 2</t>
  </si>
  <si>
    <t xml:space="preserve"> % commission</t>
  </si>
  <si>
    <t>CD</t>
  </si>
  <si>
    <t>CI</t>
  </si>
  <si>
    <t>Commercial</t>
  </si>
  <si>
    <t xml:space="preserve">Strat </t>
  </si>
  <si>
    <t>Administratif</t>
  </si>
  <si>
    <t>Ct indirect</t>
  </si>
  <si>
    <t>Ct total</t>
  </si>
  <si>
    <t>Résultat</t>
  </si>
  <si>
    <t>Appro plast</t>
  </si>
  <si>
    <t>Appro mousse</t>
  </si>
  <si>
    <t>Salaire ccial spécialisé</t>
  </si>
  <si>
    <t>Nb cde de mousse</t>
  </si>
  <si>
    <t>Nb de cde de plastique</t>
  </si>
  <si>
    <t>appro plast</t>
  </si>
  <si>
    <t>Tableau 1 bis</t>
  </si>
  <si>
    <t>Tableau 2 bis</t>
  </si>
  <si>
    <t>Tableau 1 ter</t>
  </si>
  <si>
    <t>Tableau 2 ter</t>
  </si>
  <si>
    <t>Tableau 1 quatro</t>
  </si>
  <si>
    <t>Tableau 2 quatro</t>
  </si>
  <si>
    <t>Nb de produit</t>
  </si>
  <si>
    <t>Tableau 1 quinquies</t>
  </si>
  <si>
    <t>Tableau 2 quiquies</t>
  </si>
  <si>
    <t>nb de cde</t>
  </si>
  <si>
    <t>M2 shapé</t>
  </si>
  <si>
    <t>€ de CA</t>
  </si>
  <si>
    <t>€ de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</si>
</sst>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,##0.00000"/>
    <numFmt numFmtId="165" formatCode="#,##0.0000"/>
    <numFmt numFmtId="166" formatCode="#,##0.000000"/>
    <numFmt numFmtId="167" formatCode="_-* #,##0.0000\ _€_-;\-* #,##0.0000\ _€_-;_-* &quot;-&quot;??\ _€_-;_-@_-"/>
    <numFmt numFmtId="168" formatCode="_-* #,##0.00000\ _€_-;\-* #,##0.00000\ _€_-;_-* &quot;-&quot;??\ _€_-;_-@_-"/>
    <numFmt numFmtId="169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2" borderId="4" xfId="0" applyFill="1" applyBorder="1"/>
    <xf numFmtId="1" fontId="0" fillId="2" borderId="5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4" fillId="0" borderId="7" xfId="0" applyFont="1" applyBorder="1"/>
    <xf numFmtId="0" fontId="3" fillId="0" borderId="10" xfId="0" applyFont="1" applyBorder="1"/>
    <xf numFmtId="0" fontId="0" fillId="0" borderId="13" xfId="0" applyFont="1" applyBorder="1"/>
    <xf numFmtId="0" fontId="0" fillId="0" borderId="15" xfId="0" applyFont="1" applyBorder="1"/>
    <xf numFmtId="3" fontId="0" fillId="0" borderId="16" xfId="0" applyNumberFormat="1" applyFill="1" applyBorder="1" applyAlignment="1">
      <alignment vertical="center"/>
    </xf>
    <xf numFmtId="0" fontId="4" fillId="0" borderId="18" xfId="0" applyFont="1" applyBorder="1"/>
    <xf numFmtId="0" fontId="0" fillId="0" borderId="4" xfId="0" applyBorder="1"/>
    <xf numFmtId="0" fontId="3" fillId="0" borderId="13" xfId="0" applyFont="1" applyBorder="1"/>
    <xf numFmtId="0" fontId="3" fillId="0" borderId="23" xfId="0" applyFont="1" applyBorder="1"/>
    <xf numFmtId="0" fontId="3" fillId="0" borderId="0" xfId="0" applyFont="1" applyBorder="1"/>
    <xf numFmtId="3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3" fillId="0" borderId="25" xfId="0" applyFont="1" applyBorder="1"/>
    <xf numFmtId="0" fontId="0" fillId="0" borderId="27" xfId="0" applyBorder="1"/>
    <xf numFmtId="0" fontId="3" fillId="0" borderId="0" xfId="0" applyFont="1" applyFill="1" applyBorder="1"/>
    <xf numFmtId="0" fontId="0" fillId="2" borderId="28" xfId="0" applyFill="1" applyBorder="1"/>
    <xf numFmtId="0" fontId="0" fillId="2" borderId="31" xfId="0" applyFill="1" applyBorder="1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28" xfId="0" applyFont="1" applyBorder="1"/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33" xfId="0" applyBorder="1"/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31" xfId="0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3" fillId="0" borderId="1" xfId="0" applyFont="1" applyBorder="1"/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3" fontId="0" fillId="0" borderId="35" xfId="0" applyNumberFormat="1" applyBorder="1" applyAlignment="1">
      <alignment horizontal="center" vertical="center"/>
    </xf>
    <xf numFmtId="0" fontId="0" fillId="0" borderId="33" xfId="0" applyFont="1" applyBorder="1"/>
    <xf numFmtId="3" fontId="0" fillId="0" borderId="36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0" fillId="0" borderId="26" xfId="0" applyBorder="1"/>
    <xf numFmtId="3" fontId="0" fillId="0" borderId="4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2" borderId="28" xfId="0" applyFont="1" applyFill="1" applyBorder="1"/>
    <xf numFmtId="3" fontId="0" fillId="2" borderId="10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0" fontId="3" fillId="2" borderId="38" xfId="0" applyFont="1" applyFill="1" applyBorder="1"/>
    <xf numFmtId="3" fontId="0" fillId="2" borderId="23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vertical="center"/>
    </xf>
    <xf numFmtId="3" fontId="0" fillId="0" borderId="9" xfId="0" applyNumberFormat="1" applyFill="1" applyBorder="1"/>
    <xf numFmtId="3" fontId="0" fillId="0" borderId="11" xfId="0" applyNumberFormat="1" applyFill="1" applyBorder="1" applyAlignment="1">
      <alignment vertical="center"/>
    </xf>
    <xf numFmtId="3" fontId="0" fillId="0" borderId="12" xfId="0" applyNumberFormat="1" applyFill="1" applyBorder="1"/>
    <xf numFmtId="3" fontId="0" fillId="0" borderId="14" xfId="0" applyNumberFormat="1" applyFill="1" applyBorder="1" applyAlignment="1">
      <alignment vertical="center"/>
    </xf>
    <xf numFmtId="3" fontId="0" fillId="0" borderId="17" xfId="0" applyNumberFormat="1" applyFill="1" applyBorder="1"/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6" xfId="0" applyNumberFormat="1" applyFill="1" applyBorder="1"/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right" vertical="center"/>
    </xf>
    <xf numFmtId="3" fontId="0" fillId="0" borderId="22" xfId="0" applyNumberFormat="1" applyFill="1" applyBorder="1"/>
    <xf numFmtId="3" fontId="2" fillId="0" borderId="24" xfId="0" applyNumberFormat="1" applyFont="1" applyFill="1" applyBorder="1" applyAlignment="1">
      <alignment horizontal="center" vertical="center"/>
    </xf>
    <xf numFmtId="164" fontId="0" fillId="0" borderId="24" xfId="0" applyNumberFormat="1" applyFill="1" applyBorder="1" applyAlignment="1">
      <alignment vertical="center"/>
    </xf>
    <xf numFmtId="0" fontId="0" fillId="0" borderId="38" xfId="0" applyBorder="1"/>
    <xf numFmtId="9" fontId="0" fillId="0" borderId="24" xfId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3" fillId="0" borderId="38" xfId="0" applyFont="1" applyBorder="1"/>
    <xf numFmtId="3" fontId="0" fillId="0" borderId="3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4" fontId="0" fillId="0" borderId="11" xfId="0" applyNumberFormat="1" applyFill="1" applyBorder="1" applyAlignment="1">
      <alignment vertical="center"/>
    </xf>
    <xf numFmtId="3" fontId="0" fillId="0" borderId="0" xfId="0" applyNumberFormat="1"/>
    <xf numFmtId="43" fontId="0" fillId="0" borderId="24" xfId="2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horizontal="center" vertical="center"/>
    </xf>
    <xf numFmtId="3" fontId="0" fillId="4" borderId="22" xfId="0" applyNumberFormat="1" applyFill="1" applyBorder="1" applyAlignment="1">
      <alignment horizontal="center" vertical="center"/>
    </xf>
    <xf numFmtId="3" fontId="0" fillId="4" borderId="36" xfId="0" applyNumberFormat="1" applyFill="1" applyBorder="1" applyAlignment="1">
      <alignment horizontal="center" vertical="center"/>
    </xf>
    <xf numFmtId="0" fontId="0" fillId="0" borderId="14" xfId="0" applyBorder="1"/>
    <xf numFmtId="3" fontId="0" fillId="0" borderId="17" xfId="0" applyNumberFormat="1" applyBorder="1" applyAlignment="1">
      <alignment horizontal="center" vertical="center"/>
    </xf>
    <xf numFmtId="0" fontId="2" fillId="0" borderId="31" xfId="0" applyFont="1" applyBorder="1"/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8" xfId="0" applyNumberFormat="1" applyFont="1" applyFill="1" applyBorder="1" applyAlignment="1">
      <alignment vertical="center"/>
    </xf>
    <xf numFmtId="43" fontId="2" fillId="0" borderId="24" xfId="2" applyNumberFormat="1" applyFont="1" applyFill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/>
    </xf>
    <xf numFmtId="167" fontId="0" fillId="0" borderId="24" xfId="2" applyNumberFormat="1" applyFont="1" applyFill="1" applyBorder="1" applyAlignment="1">
      <alignment vertical="center"/>
    </xf>
    <xf numFmtId="168" fontId="2" fillId="0" borderId="24" xfId="2" applyNumberFormat="1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0" fillId="2" borderId="10" xfId="0" applyFill="1" applyBorder="1"/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0" fontId="4" fillId="0" borderId="13" xfId="0" applyFont="1" applyBorder="1"/>
    <xf numFmtId="3" fontId="0" fillId="0" borderId="22" xfId="0" applyNumberFormat="1" applyFill="1" applyBorder="1" applyAlignment="1">
      <alignment vertical="center"/>
    </xf>
    <xf numFmtId="0" fontId="4" fillId="0" borderId="23" xfId="0" applyFont="1" applyBorder="1"/>
    <xf numFmtId="3" fontId="0" fillId="0" borderId="24" xfId="0" applyNumberFormat="1" applyFill="1" applyBorder="1" applyAlignment="1">
      <alignment vertical="center"/>
    </xf>
    <xf numFmtId="3" fontId="0" fillId="0" borderId="32" xfId="0" applyNumberFormat="1" applyFill="1" applyBorder="1" applyAlignment="1">
      <alignment vertical="center"/>
    </xf>
    <xf numFmtId="0" fontId="0" fillId="0" borderId="5" xfId="0" applyBorder="1"/>
    <xf numFmtId="0" fontId="2" fillId="0" borderId="5" xfId="0" applyFont="1" applyBorder="1"/>
    <xf numFmtId="3" fontId="0" fillId="0" borderId="5" xfId="0" applyNumberFormat="1" applyFill="1" applyBorder="1"/>
    <xf numFmtId="0" fontId="2" fillId="0" borderId="11" xfId="0" applyFont="1" applyBorder="1" applyAlignment="1">
      <alignment wrapText="1"/>
    </xf>
    <xf numFmtId="2" fontId="2" fillId="0" borderId="24" xfId="0" applyNumberFormat="1" applyFont="1" applyBorder="1"/>
    <xf numFmtId="43" fontId="0" fillId="0" borderId="32" xfId="2" applyNumberFormat="1" applyFont="1" applyFill="1" applyBorder="1" applyAlignment="1">
      <alignment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9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 vertical="center"/>
    </xf>
    <xf numFmtId="0" fontId="2" fillId="0" borderId="33" xfId="0" applyFont="1" applyBorder="1"/>
    <xf numFmtId="3" fontId="2" fillId="0" borderId="13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43" fontId="2" fillId="0" borderId="24" xfId="2" applyNumberFormat="1" applyFont="1" applyFill="1" applyBorder="1" applyAlignment="1">
      <alignment horizontal="center" vertical="center"/>
    </xf>
    <xf numFmtId="4" fontId="5" fillId="5" borderId="11" xfId="0" applyNumberFormat="1" applyFont="1" applyFill="1" applyBorder="1" applyAlignment="1">
      <alignment horizontal="center" vertical="center" wrapText="1"/>
    </xf>
    <xf numFmtId="3" fontId="0" fillId="5" borderId="14" xfId="0" applyNumberFormat="1" applyFill="1" applyBorder="1" applyAlignment="1">
      <alignment vertical="center"/>
    </xf>
    <xf numFmtId="169" fontId="0" fillId="4" borderId="14" xfId="0" applyNumberFormat="1" applyFill="1" applyBorder="1" applyAlignment="1">
      <alignment horizontal="center" vertical="center"/>
    </xf>
    <xf numFmtId="169" fontId="0" fillId="5" borderId="24" xfId="2" applyNumberFormat="1" applyFont="1" applyFill="1" applyBorder="1" applyAlignment="1">
      <alignment vertical="center"/>
    </xf>
    <xf numFmtId="165" fontId="0" fillId="0" borderId="2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0" fillId="0" borderId="24" xfId="2" applyNumberFormat="1" applyFont="1" applyFill="1" applyBorder="1" applyAlignment="1">
      <alignment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80" zoomScaleNormal="80" workbookViewId="0">
      <selection activeCell="G5" sqref="G5"/>
    </sheetView>
  </sheetViews>
  <sheetFormatPr baseColWidth="10" defaultRowHeight="14.5" x14ac:dyDescent="0.35"/>
  <cols>
    <col min="1" max="1" width="15.1796875" customWidth="1"/>
    <col min="3" max="3" width="11.7265625" bestFit="1" customWidth="1"/>
    <col min="7" max="7" width="11.1796875" bestFit="1" customWidth="1"/>
  </cols>
  <sheetData>
    <row r="1" spans="1:11" ht="15" thickBot="1" x14ac:dyDescent="0.4">
      <c r="A1" s="145"/>
      <c r="B1" s="146"/>
      <c r="C1" s="146"/>
      <c r="D1" s="146"/>
      <c r="E1" s="146"/>
      <c r="F1" s="146"/>
      <c r="G1" s="146"/>
      <c r="H1" s="147"/>
    </row>
    <row r="2" spans="1:11" ht="15" thickBot="1" x14ac:dyDescent="0.4">
      <c r="A2" s="2"/>
      <c r="B2" s="2"/>
      <c r="C2" s="2"/>
      <c r="D2" s="2"/>
      <c r="E2" s="2"/>
      <c r="F2" s="2"/>
      <c r="G2" s="2"/>
      <c r="H2" s="3"/>
    </row>
    <row r="3" spans="1:11" ht="15" thickBot="1" x14ac:dyDescent="0.4">
      <c r="A3" s="60"/>
      <c r="B3" s="60"/>
      <c r="C3" s="60"/>
      <c r="D3" s="60"/>
      <c r="E3" s="60"/>
      <c r="F3" s="60"/>
      <c r="G3" s="60"/>
      <c r="H3" s="61"/>
    </row>
    <row r="4" spans="1:11" x14ac:dyDescent="0.35">
      <c r="A4" s="4"/>
      <c r="B4" s="62"/>
      <c r="C4" s="62"/>
      <c r="D4" s="62"/>
      <c r="E4" s="62"/>
      <c r="F4" s="62"/>
      <c r="G4" s="62"/>
      <c r="H4" s="63"/>
    </row>
    <row r="5" spans="1:11" x14ac:dyDescent="0.35">
      <c r="A5" s="6"/>
      <c r="B5" s="64"/>
      <c r="C5" s="64"/>
      <c r="D5" s="64"/>
      <c r="E5" s="64"/>
      <c r="F5" s="64"/>
      <c r="G5" s="64"/>
      <c r="H5" s="64"/>
      <c r="I5" s="83"/>
    </row>
    <row r="6" spans="1:11" ht="15" thickBot="1" x14ac:dyDescent="0.4">
      <c r="A6" s="7"/>
      <c r="B6" s="8"/>
      <c r="C6" s="8"/>
      <c r="D6" s="8"/>
      <c r="E6" s="8"/>
      <c r="F6" s="8"/>
      <c r="G6" s="8"/>
      <c r="H6" s="65"/>
      <c r="I6" s="83"/>
      <c r="K6" s="83"/>
    </row>
    <row r="7" spans="1:11" ht="15" thickBot="1" x14ac:dyDescent="0.4">
      <c r="A7" s="9"/>
      <c r="B7" s="66"/>
      <c r="C7" s="66"/>
      <c r="D7" s="66"/>
      <c r="E7" s="66"/>
      <c r="F7" s="66"/>
      <c r="G7" s="66"/>
      <c r="H7" s="66"/>
      <c r="K7" s="83"/>
    </row>
    <row r="8" spans="1:11" ht="15" thickBot="1" x14ac:dyDescent="0.4">
      <c r="A8" s="10"/>
      <c r="B8" s="67"/>
      <c r="C8" s="67"/>
      <c r="D8" s="67"/>
      <c r="E8" s="67"/>
      <c r="F8" s="67"/>
      <c r="G8" s="67"/>
      <c r="H8" s="68"/>
    </row>
    <row r="9" spans="1:11" x14ac:dyDescent="0.35">
      <c r="A9" s="5"/>
      <c r="B9" s="62"/>
      <c r="C9" s="69"/>
      <c r="D9" s="62"/>
      <c r="E9" s="69"/>
      <c r="F9" s="69"/>
      <c r="G9" s="82"/>
      <c r="H9" s="70"/>
    </row>
    <row r="10" spans="1:11" x14ac:dyDescent="0.35">
      <c r="A10" s="11"/>
      <c r="B10" s="71"/>
      <c r="C10" s="64"/>
      <c r="D10" s="64"/>
      <c r="E10" s="64"/>
      <c r="F10" s="64"/>
      <c r="G10" s="64"/>
      <c r="H10" s="64"/>
    </row>
    <row r="11" spans="1:11" ht="15" thickBot="1" x14ac:dyDescent="0.4">
      <c r="A11" s="12"/>
      <c r="B11" s="73"/>
      <c r="C11" s="160"/>
      <c r="D11" s="160"/>
      <c r="E11" s="160"/>
      <c r="F11" s="160"/>
      <c r="G11" s="160"/>
      <c r="H11" s="160"/>
    </row>
    <row r="12" spans="1:11" x14ac:dyDescent="0.35">
      <c r="A12" s="13"/>
      <c r="B12" s="14"/>
      <c r="C12" s="15"/>
      <c r="D12" s="15"/>
      <c r="E12" s="15"/>
      <c r="F12" s="15"/>
      <c r="G12" s="15"/>
      <c r="H12" s="15"/>
    </row>
    <row r="14" spans="1:11" ht="15" thickBot="1" x14ac:dyDescent="0.4">
      <c r="A14" s="18"/>
    </row>
    <row r="15" spans="1:11" ht="19" thickBot="1" x14ac:dyDescent="0.5">
      <c r="A15" s="148"/>
      <c r="B15" s="149"/>
      <c r="C15" s="149"/>
      <c r="D15" s="149"/>
      <c r="E15" s="149"/>
      <c r="F15" s="149"/>
      <c r="G15" s="150"/>
    </row>
    <row r="16" spans="1:11" x14ac:dyDescent="0.35">
      <c r="A16" s="19"/>
      <c r="B16" s="151"/>
      <c r="C16" s="152"/>
      <c r="D16" s="153"/>
      <c r="E16" s="152"/>
      <c r="F16" s="152"/>
      <c r="G16" s="153"/>
    </row>
    <row r="17" spans="1:8" ht="15" thickBot="1" x14ac:dyDescent="0.4">
      <c r="A17" s="20"/>
      <c r="B17" s="21"/>
      <c r="C17" s="22"/>
      <c r="D17" s="23"/>
      <c r="E17" s="21"/>
      <c r="F17" s="22"/>
      <c r="G17" s="23"/>
    </row>
    <row r="18" spans="1:8" x14ac:dyDescent="0.35">
      <c r="A18" s="24"/>
      <c r="B18" s="25"/>
      <c r="C18" s="26"/>
      <c r="D18" s="27"/>
      <c r="E18" s="41"/>
      <c r="F18" s="26"/>
      <c r="G18" s="27"/>
    </row>
    <row r="19" spans="1:8" x14ac:dyDescent="0.35">
      <c r="A19" s="28"/>
      <c r="B19" s="29"/>
      <c r="C19" s="30"/>
      <c r="D19" s="31"/>
      <c r="E19" s="46"/>
      <c r="F19" s="30"/>
      <c r="G19" s="31"/>
    </row>
    <row r="20" spans="1:8" x14ac:dyDescent="0.35">
      <c r="A20" s="28"/>
      <c r="B20" s="29"/>
      <c r="C20" s="30"/>
      <c r="D20" s="31"/>
      <c r="E20" s="46"/>
      <c r="F20" s="30"/>
      <c r="G20" s="31"/>
    </row>
    <row r="21" spans="1:8" x14ac:dyDescent="0.35">
      <c r="A21" s="28"/>
      <c r="B21" s="29"/>
      <c r="C21" s="30"/>
      <c r="D21" s="31"/>
      <c r="E21" s="46"/>
      <c r="F21" s="30"/>
      <c r="G21" s="31"/>
    </row>
    <row r="22" spans="1:8" x14ac:dyDescent="0.35">
      <c r="A22" s="32"/>
      <c r="B22" s="33"/>
      <c r="C22" s="34"/>
      <c r="D22" s="31"/>
      <c r="E22" s="49"/>
      <c r="F22" s="34"/>
      <c r="G22" s="31"/>
    </row>
    <row r="23" spans="1:8" x14ac:dyDescent="0.35">
      <c r="A23" s="28"/>
      <c r="B23" s="29"/>
      <c r="C23" s="30"/>
      <c r="D23" s="31"/>
      <c r="E23" s="46"/>
      <c r="F23" s="30"/>
      <c r="G23" s="31"/>
    </row>
    <row r="24" spans="1:8" x14ac:dyDescent="0.35">
      <c r="A24" s="28"/>
      <c r="B24" s="29"/>
      <c r="C24" s="135"/>
      <c r="D24" s="31"/>
      <c r="E24" s="46"/>
      <c r="F24" s="135"/>
      <c r="G24" s="31"/>
    </row>
    <row r="25" spans="1:8" x14ac:dyDescent="0.35">
      <c r="A25" s="28"/>
      <c r="B25" s="29"/>
      <c r="C25" s="30"/>
      <c r="D25" s="31"/>
      <c r="E25" s="46"/>
      <c r="F25" s="30"/>
      <c r="G25" s="31"/>
    </row>
    <row r="26" spans="1:8" ht="15" thickBot="1" x14ac:dyDescent="0.4">
      <c r="A26" s="75"/>
      <c r="B26" s="47"/>
      <c r="C26" s="76"/>
      <c r="D26" s="31"/>
      <c r="E26" s="79"/>
      <c r="F26" s="76"/>
      <c r="G26" s="48"/>
    </row>
    <row r="27" spans="1:8" ht="15" thickBot="1" x14ac:dyDescent="0.4">
      <c r="A27" s="16"/>
      <c r="B27" s="36"/>
      <c r="C27" s="37"/>
      <c r="D27" s="38"/>
      <c r="E27" s="80"/>
      <c r="F27" s="37"/>
      <c r="G27" s="38"/>
      <c r="H27" s="83"/>
    </row>
    <row r="28" spans="1:8" x14ac:dyDescent="0.35">
      <c r="A28" s="24"/>
      <c r="B28" s="39"/>
      <c r="C28" s="40"/>
      <c r="D28" s="27"/>
      <c r="E28" s="41"/>
      <c r="F28" s="26"/>
      <c r="G28" s="27"/>
    </row>
    <row r="29" spans="1:8" x14ac:dyDescent="0.35">
      <c r="A29" s="45"/>
      <c r="B29" s="29"/>
      <c r="C29" s="118"/>
      <c r="D29" s="31"/>
      <c r="E29" s="46"/>
      <c r="F29" s="118"/>
      <c r="G29" s="31"/>
      <c r="H29" s="83"/>
    </row>
    <row r="30" spans="1:8" x14ac:dyDescent="0.35">
      <c r="A30" s="45"/>
      <c r="B30" s="29"/>
      <c r="C30" s="118"/>
      <c r="D30" s="31"/>
      <c r="E30" s="46"/>
      <c r="F30" s="118"/>
      <c r="G30" s="31"/>
      <c r="H30" s="83"/>
    </row>
    <row r="31" spans="1:8" x14ac:dyDescent="0.35">
      <c r="A31" s="45"/>
      <c r="B31" s="29"/>
      <c r="C31" s="118"/>
      <c r="D31" s="31"/>
      <c r="E31" s="46"/>
      <c r="F31" s="118"/>
      <c r="G31" s="31"/>
      <c r="H31" s="83"/>
    </row>
    <row r="32" spans="1:8" x14ac:dyDescent="0.35">
      <c r="A32" s="45"/>
      <c r="B32" s="29"/>
      <c r="C32" s="42"/>
      <c r="D32" s="31"/>
      <c r="E32" s="46"/>
      <c r="F32" s="42"/>
      <c r="G32" s="31"/>
      <c r="H32" s="83"/>
    </row>
    <row r="33" spans="1:8" x14ac:dyDescent="0.35">
      <c r="A33" s="28"/>
      <c r="B33" s="29"/>
      <c r="C33" s="42"/>
      <c r="D33" s="31"/>
      <c r="E33" s="29"/>
      <c r="F33" s="42"/>
      <c r="G33" s="31"/>
    </row>
    <row r="34" spans="1:8" ht="15" thickBot="1" x14ac:dyDescent="0.4">
      <c r="A34" s="78"/>
      <c r="B34" s="47"/>
      <c r="C34" s="144"/>
      <c r="D34" s="48"/>
      <c r="E34" s="47"/>
      <c r="F34" s="144"/>
      <c r="G34" s="48"/>
    </row>
    <row r="35" spans="1:8" ht="15" thickBot="1" x14ac:dyDescent="0.4">
      <c r="A35" s="50"/>
      <c r="B35" s="51"/>
      <c r="C35" s="136"/>
      <c r="D35" s="44"/>
      <c r="E35" s="51"/>
      <c r="F35" s="136"/>
      <c r="G35" s="44"/>
      <c r="H35" s="83"/>
    </row>
    <row r="36" spans="1:8" ht="15" thickBot="1" x14ac:dyDescent="0.4">
      <c r="A36" s="35"/>
      <c r="B36" s="36"/>
      <c r="C36" s="37"/>
      <c r="D36" s="38"/>
      <c r="E36" s="36"/>
      <c r="F36" s="37"/>
      <c r="G36" s="38"/>
      <c r="H36" s="83"/>
    </row>
    <row r="37" spans="1:8" x14ac:dyDescent="0.35">
      <c r="A37" s="53"/>
      <c r="B37" s="54"/>
      <c r="C37" s="55"/>
      <c r="D37" s="56"/>
      <c r="E37" s="54"/>
      <c r="F37" s="55"/>
      <c r="G37" s="56"/>
      <c r="H37" s="83"/>
    </row>
    <row r="38" spans="1:8" ht="15" thickBot="1" x14ac:dyDescent="0.4">
      <c r="A38" s="57"/>
      <c r="B38" s="58"/>
      <c r="C38" s="59"/>
      <c r="D38" s="59"/>
      <c r="E38" s="58"/>
      <c r="F38" s="59"/>
      <c r="G38" s="59"/>
      <c r="H38" s="83"/>
    </row>
  </sheetData>
  <mergeCells count="4">
    <mergeCell ref="A1:H1"/>
    <mergeCell ref="A15:G15"/>
    <mergeCell ref="B16:D16"/>
    <mergeCell ref="E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70" workbookViewId="0">
      <selection activeCell="B31" sqref="B31:G31"/>
    </sheetView>
  </sheetViews>
  <sheetFormatPr baseColWidth="10" defaultRowHeight="14.5" x14ac:dyDescent="0.35"/>
  <sheetData>
    <row r="1" spans="1:8" ht="15" thickBot="1" x14ac:dyDescent="0.4">
      <c r="A1" s="145" t="s">
        <v>47</v>
      </c>
      <c r="B1" s="146"/>
      <c r="C1" s="146"/>
      <c r="D1" s="146"/>
      <c r="E1" s="146"/>
      <c r="F1" s="146"/>
      <c r="G1" s="146"/>
      <c r="H1" s="147"/>
    </row>
    <row r="2" spans="1:8" ht="15" thickBot="1" x14ac:dyDescent="0.4">
      <c r="A2" s="1"/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2</v>
      </c>
    </row>
    <row r="3" spans="1:8" ht="15" thickBot="1" x14ac:dyDescent="0.4">
      <c r="A3" s="4" t="s">
        <v>7</v>
      </c>
      <c r="B3" s="120">
        <v>56000</v>
      </c>
      <c r="C3" s="120">
        <v>28600</v>
      </c>
      <c r="D3" s="120">
        <v>76000</v>
      </c>
      <c r="E3" s="120">
        <v>86000</v>
      </c>
      <c r="F3" s="120">
        <v>75000</v>
      </c>
      <c r="G3" s="120">
        <v>52000</v>
      </c>
      <c r="H3" s="121">
        <v>23400</v>
      </c>
    </row>
    <row r="4" spans="1:8" x14ac:dyDescent="0.35">
      <c r="A4" s="5" t="s">
        <v>8</v>
      </c>
      <c r="B4" s="122"/>
      <c r="C4" s="122"/>
      <c r="D4" s="122"/>
      <c r="E4" s="122"/>
      <c r="F4" s="122"/>
      <c r="G4" s="122"/>
      <c r="H4" s="123"/>
    </row>
    <row r="5" spans="1:8" x14ac:dyDescent="0.35">
      <c r="A5" s="6" t="s">
        <v>0</v>
      </c>
      <c r="B5" s="124">
        <v>-57776.659959758552</v>
      </c>
      <c r="C5" s="124">
        <v>6933.1991951710261</v>
      </c>
      <c r="D5" s="124">
        <v>21955.13078470825</v>
      </c>
      <c r="E5" s="124"/>
      <c r="F5" s="124"/>
      <c r="G5" s="124">
        <f>-0.5*B5</f>
        <v>28888.329979879276</v>
      </c>
      <c r="H5" s="124"/>
    </row>
    <row r="6" spans="1:8" ht="15" thickBot="1" x14ac:dyDescent="0.4">
      <c r="A6" s="7" t="s">
        <v>9</v>
      </c>
      <c r="B6" s="125">
        <v>1776.6599597585512</v>
      </c>
      <c r="C6" s="125">
        <v>-35533.199195171022</v>
      </c>
      <c r="D6" s="125">
        <v>8439.1348088531176</v>
      </c>
      <c r="E6" s="125">
        <v>8439.1348088531176</v>
      </c>
      <c r="F6" s="125">
        <v>8439.1348088531176</v>
      </c>
      <c r="G6" s="125">
        <v>8439.1348088531176</v>
      </c>
      <c r="H6" s="126"/>
    </row>
    <row r="7" spans="1:8" ht="15" thickBot="1" x14ac:dyDescent="0.4">
      <c r="A7" s="9" t="s">
        <v>10</v>
      </c>
      <c r="B7" s="127">
        <f>B3+B6+B5</f>
        <v>0</v>
      </c>
      <c r="C7" s="127">
        <f t="shared" ref="C7:H7" si="0">C3+C6+C5</f>
        <v>0</v>
      </c>
      <c r="D7" s="127">
        <f t="shared" si="0"/>
        <v>106394.26559356137</v>
      </c>
      <c r="E7" s="127">
        <f t="shared" si="0"/>
        <v>94439.134808853123</v>
      </c>
      <c r="F7" s="127">
        <f t="shared" si="0"/>
        <v>83439.134808853123</v>
      </c>
      <c r="G7" s="127">
        <f t="shared" si="0"/>
        <v>89327.464788732395</v>
      </c>
      <c r="H7" s="127">
        <f t="shared" si="0"/>
        <v>23400</v>
      </c>
    </row>
    <row r="8" spans="1:8" ht="15" thickBot="1" x14ac:dyDescent="0.4">
      <c r="A8" s="10"/>
      <c r="B8" s="128"/>
      <c r="C8" s="128"/>
      <c r="D8" s="128"/>
      <c r="E8" s="128"/>
      <c r="F8" s="128"/>
      <c r="G8" s="128"/>
      <c r="H8" s="129"/>
    </row>
    <row r="9" spans="1:8" x14ac:dyDescent="0.35">
      <c r="A9" s="5" t="s">
        <v>11</v>
      </c>
      <c r="B9" s="122"/>
      <c r="C9" s="69"/>
      <c r="D9" s="62" t="s">
        <v>56</v>
      </c>
      <c r="E9" s="69" t="s">
        <v>57</v>
      </c>
      <c r="F9" s="140" t="s">
        <v>16</v>
      </c>
      <c r="G9" s="82" t="s">
        <v>58</v>
      </c>
      <c r="H9" s="70" t="s">
        <v>59</v>
      </c>
    </row>
    <row r="10" spans="1:8" x14ac:dyDescent="0.35">
      <c r="A10" s="11" t="s">
        <v>12</v>
      </c>
      <c r="B10" s="124"/>
      <c r="C10" s="124"/>
      <c r="D10" s="64">
        <f>48+98+10</f>
        <v>156</v>
      </c>
      <c r="E10" s="64">
        <f>750*3+1400*2.5</f>
        <v>5750</v>
      </c>
      <c r="F10" s="141"/>
      <c r="G10" s="64">
        <f>750*1200+1400*1000</f>
        <v>2300000</v>
      </c>
      <c r="H10" s="64">
        <f>SUM(D7:G7)</f>
        <v>373600.00000000006</v>
      </c>
    </row>
    <row r="11" spans="1:8" ht="15" thickBot="1" x14ac:dyDescent="0.4">
      <c r="A11" s="12" t="s">
        <v>13</v>
      </c>
      <c r="B11" s="73"/>
      <c r="C11" s="130"/>
      <c r="D11" s="84">
        <f>D7/D10</f>
        <v>682.01452303564986</v>
      </c>
      <c r="E11" s="97">
        <f t="shared" ref="E11:G11" si="1">E7/E10</f>
        <v>16.424197358061413</v>
      </c>
      <c r="F11" s="143"/>
      <c r="G11" s="97">
        <f t="shared" si="1"/>
        <v>3.8838028169014084E-2</v>
      </c>
      <c r="H11" s="97">
        <f>H7/H10</f>
        <v>6.2633832976445383E-2</v>
      </c>
    </row>
    <row r="12" spans="1:8" x14ac:dyDescent="0.35">
      <c r="A12" s="13"/>
      <c r="B12" s="14"/>
      <c r="C12" s="15"/>
      <c r="D12" s="15"/>
      <c r="E12" s="15"/>
      <c r="F12" s="15"/>
      <c r="G12" s="15"/>
      <c r="H12" s="15"/>
    </row>
    <row r="14" spans="1:8" ht="15" thickBot="1" x14ac:dyDescent="0.4">
      <c r="A14" s="18"/>
    </row>
    <row r="15" spans="1:8" ht="19" thickBot="1" x14ac:dyDescent="0.5">
      <c r="A15" s="148" t="s">
        <v>48</v>
      </c>
      <c r="B15" s="149"/>
      <c r="C15" s="149"/>
      <c r="D15" s="149"/>
      <c r="E15" s="149"/>
      <c r="F15" s="149"/>
      <c r="G15" s="150"/>
    </row>
    <row r="16" spans="1:8" x14ac:dyDescent="0.35">
      <c r="A16" s="19"/>
      <c r="B16" s="151" t="s">
        <v>19</v>
      </c>
      <c r="C16" s="152"/>
      <c r="D16" s="153"/>
      <c r="E16" s="152" t="s">
        <v>20</v>
      </c>
      <c r="F16" s="152"/>
      <c r="G16" s="153"/>
    </row>
    <row r="17" spans="1:8" ht="15" thickBot="1" x14ac:dyDescent="0.4">
      <c r="A17" s="20"/>
      <c r="B17" s="21" t="s">
        <v>21</v>
      </c>
      <c r="C17" s="22" t="s">
        <v>22</v>
      </c>
      <c r="D17" s="23" t="s">
        <v>23</v>
      </c>
      <c r="E17" s="21" t="s">
        <v>21</v>
      </c>
      <c r="F17" s="22" t="s">
        <v>22</v>
      </c>
      <c r="G17" s="23" t="s">
        <v>23</v>
      </c>
    </row>
    <row r="18" spans="1:8" x14ac:dyDescent="0.35">
      <c r="A18" s="24" t="s">
        <v>24</v>
      </c>
      <c r="B18" s="25"/>
      <c r="C18" s="26"/>
      <c r="D18" s="27"/>
      <c r="E18" s="41"/>
      <c r="F18" s="26"/>
      <c r="G18" s="27"/>
    </row>
    <row r="19" spans="1:8" x14ac:dyDescent="0.35">
      <c r="A19" s="28" t="s">
        <v>25</v>
      </c>
      <c r="B19" s="29">
        <f>3*750</f>
        <v>2250</v>
      </c>
      <c r="C19" s="30">
        <v>230</v>
      </c>
      <c r="D19" s="31">
        <f>C19*B19</f>
        <v>517500</v>
      </c>
      <c r="E19" s="46"/>
      <c r="F19" s="30"/>
      <c r="G19" s="31"/>
    </row>
    <row r="20" spans="1:8" x14ac:dyDescent="0.35">
      <c r="A20" s="28" t="s">
        <v>26</v>
      </c>
      <c r="B20" s="29"/>
      <c r="C20" s="30"/>
      <c r="D20" s="31"/>
      <c r="E20" s="46">
        <f>2.5*1400</f>
        <v>3500</v>
      </c>
      <c r="F20" s="30">
        <v>210</v>
      </c>
      <c r="G20" s="31">
        <f>F20*E20</f>
        <v>735000</v>
      </c>
    </row>
    <row r="21" spans="1:8" x14ac:dyDescent="0.35">
      <c r="A21" s="28" t="s">
        <v>27</v>
      </c>
      <c r="B21" s="29">
        <f>1*750</f>
        <v>750</v>
      </c>
      <c r="C21" s="30">
        <v>20</v>
      </c>
      <c r="D21" s="31">
        <f>C21*B21</f>
        <v>15000</v>
      </c>
      <c r="E21" s="46"/>
      <c r="F21" s="30"/>
      <c r="G21" s="31"/>
    </row>
    <row r="22" spans="1:8" x14ac:dyDescent="0.35">
      <c r="A22" s="32" t="s">
        <v>28</v>
      </c>
      <c r="B22" s="33"/>
      <c r="C22" s="34"/>
      <c r="D22" s="31"/>
      <c r="E22" s="49">
        <f>0.9*1400</f>
        <v>1260</v>
      </c>
      <c r="F22" s="34">
        <v>12</v>
      </c>
      <c r="G22" s="31">
        <f>F22*E22</f>
        <v>15120</v>
      </c>
    </row>
    <row r="23" spans="1:8" x14ac:dyDescent="0.35">
      <c r="A23" s="28" t="s">
        <v>29</v>
      </c>
      <c r="B23" s="29">
        <f>8*750</f>
        <v>6000</v>
      </c>
      <c r="C23" s="30">
        <v>25</v>
      </c>
      <c r="D23" s="31">
        <f>C23*B23</f>
        <v>150000</v>
      </c>
      <c r="E23" s="46">
        <f>6*1400</f>
        <v>8400</v>
      </c>
      <c r="F23" s="30">
        <v>25</v>
      </c>
      <c r="G23" s="31">
        <f>F23*E23</f>
        <v>210000</v>
      </c>
    </row>
    <row r="24" spans="1:8" x14ac:dyDescent="0.35">
      <c r="A24" s="28" t="s">
        <v>30</v>
      </c>
      <c r="B24" s="29"/>
      <c r="C24" s="30"/>
      <c r="D24" s="31">
        <v>33500</v>
      </c>
      <c r="E24" s="46"/>
      <c r="F24" s="30"/>
      <c r="G24" s="17"/>
    </row>
    <row r="25" spans="1:8" x14ac:dyDescent="0.35">
      <c r="A25" s="28" t="s">
        <v>31</v>
      </c>
      <c r="B25" s="29"/>
      <c r="C25" s="30"/>
      <c r="D25" s="31"/>
      <c r="E25" s="46"/>
      <c r="F25" s="30"/>
      <c r="G25" s="31">
        <v>80000</v>
      </c>
    </row>
    <row r="26" spans="1:8" ht="15" thickBot="1" x14ac:dyDescent="0.4">
      <c r="A26" s="75" t="s">
        <v>32</v>
      </c>
      <c r="B26" s="47">
        <f>750*1200</f>
        <v>900000</v>
      </c>
      <c r="C26" s="76">
        <v>0.05</v>
      </c>
      <c r="D26" s="48">
        <f>C26*B26</f>
        <v>45000</v>
      </c>
      <c r="E26" s="79">
        <f>1000*1400</f>
        <v>1400000</v>
      </c>
      <c r="F26" s="76">
        <v>0.05</v>
      </c>
      <c r="G26" s="48">
        <f>F26*E26</f>
        <v>70000</v>
      </c>
    </row>
    <row r="27" spans="1:8" ht="15" thickBot="1" x14ac:dyDescent="0.4">
      <c r="A27" s="16" t="s">
        <v>33</v>
      </c>
      <c r="B27" s="36">
        <f>750</f>
        <v>750</v>
      </c>
      <c r="C27" s="37">
        <f>D27/B27</f>
        <v>1014.6666666666666</v>
      </c>
      <c r="D27" s="38">
        <f>SUM(D18:D26)</f>
        <v>761000</v>
      </c>
      <c r="E27" s="80">
        <v>1400</v>
      </c>
      <c r="F27" s="37">
        <f>G27/E27</f>
        <v>792.94285714285718</v>
      </c>
      <c r="G27" s="38">
        <f>SUM(G18:G26)</f>
        <v>1110120</v>
      </c>
      <c r="H27" s="83"/>
    </row>
    <row r="28" spans="1:8" x14ac:dyDescent="0.35">
      <c r="A28" s="24" t="s">
        <v>34</v>
      </c>
      <c r="B28" s="39"/>
      <c r="C28" s="40"/>
      <c r="D28" s="27"/>
      <c r="E28" s="41"/>
      <c r="F28" s="26"/>
      <c r="G28" s="27"/>
    </row>
    <row r="29" spans="1:8" x14ac:dyDescent="0.35">
      <c r="A29" s="45" t="s">
        <v>3</v>
      </c>
      <c r="B29" s="29">
        <f>52</f>
        <v>52</v>
      </c>
      <c r="C29" s="42">
        <f>D11</f>
        <v>682.01452303564986</v>
      </c>
      <c r="D29" s="31">
        <f>C29*B29</f>
        <v>35464.755197853796</v>
      </c>
      <c r="E29" s="46">
        <v>104</v>
      </c>
      <c r="F29" s="42">
        <f>C29</f>
        <v>682.01452303564986</v>
      </c>
      <c r="G29" s="31">
        <f>F29*E29</f>
        <v>70929.510395707592</v>
      </c>
    </row>
    <row r="30" spans="1:8" x14ac:dyDescent="0.35">
      <c r="A30" s="45" t="s">
        <v>4</v>
      </c>
      <c r="B30" s="29">
        <f>3*750</f>
        <v>2250</v>
      </c>
      <c r="C30" s="43">
        <f>E11</f>
        <v>16.424197358061413</v>
      </c>
      <c r="D30" s="31">
        <f t="shared" ref="D30:D33" si="2">C30*B30</f>
        <v>36954.444055638181</v>
      </c>
      <c r="E30" s="46">
        <f>2.5*1400</f>
        <v>3500</v>
      </c>
      <c r="F30" s="42">
        <f t="shared" ref="F30:F32" si="3">C30</f>
        <v>16.424197358061413</v>
      </c>
      <c r="G30" s="31">
        <f t="shared" ref="G30:G33" si="4">F30*E30</f>
        <v>57484.690753214942</v>
      </c>
    </row>
    <row r="31" spans="1:8" x14ac:dyDescent="0.35">
      <c r="A31" s="45" t="s">
        <v>36</v>
      </c>
      <c r="B31" s="85"/>
      <c r="C31" s="142"/>
      <c r="D31" s="86"/>
      <c r="E31" s="87"/>
      <c r="F31" s="142"/>
      <c r="G31" s="86"/>
    </row>
    <row r="32" spans="1:8" x14ac:dyDescent="0.35">
      <c r="A32" s="45" t="s">
        <v>35</v>
      </c>
      <c r="B32" s="29">
        <f>1200*750</f>
        <v>900000</v>
      </c>
      <c r="C32" s="42">
        <f>G11</f>
        <v>3.8838028169014084E-2</v>
      </c>
      <c r="D32" s="31">
        <f t="shared" si="2"/>
        <v>34954.225352112677</v>
      </c>
      <c r="E32" s="46">
        <f>1400*1000</f>
        <v>1400000</v>
      </c>
      <c r="F32" s="42">
        <f t="shared" si="3"/>
        <v>3.8838028169014084E-2</v>
      </c>
      <c r="G32" s="31">
        <f t="shared" si="4"/>
        <v>54373.239436619719</v>
      </c>
    </row>
    <row r="33" spans="1:8" x14ac:dyDescent="0.35">
      <c r="A33" s="28" t="s">
        <v>37</v>
      </c>
      <c r="B33" s="29">
        <f>SUM(D29:D32)</f>
        <v>107373.42460560464</v>
      </c>
      <c r="C33" s="42">
        <f>H11</f>
        <v>6.2633832976445383E-2</v>
      </c>
      <c r="D33" s="31">
        <f t="shared" si="2"/>
        <v>6725.2091428563917</v>
      </c>
      <c r="E33" s="29">
        <f>SUM(G29:G32)</f>
        <v>182787.44058554224</v>
      </c>
      <c r="F33" s="42">
        <f>H11</f>
        <v>6.2633832976445383E-2</v>
      </c>
      <c r="G33" s="31">
        <f t="shared" si="4"/>
        <v>11448.678023826787</v>
      </c>
    </row>
    <row r="34" spans="1:8" ht="15" thickBot="1" x14ac:dyDescent="0.4">
      <c r="A34" s="78"/>
      <c r="B34" s="47"/>
      <c r="C34" s="77"/>
      <c r="D34" s="48"/>
      <c r="E34" s="79"/>
      <c r="F34" s="77"/>
      <c r="G34" s="48"/>
    </row>
    <row r="35" spans="1:8" ht="15" thickBot="1" x14ac:dyDescent="0.4">
      <c r="A35" s="50" t="s">
        <v>38</v>
      </c>
      <c r="B35" s="51"/>
      <c r="C35" s="52"/>
      <c r="D35" s="44">
        <f>SUM(D29:D33)</f>
        <v>114098.63374846103</v>
      </c>
      <c r="E35" s="81"/>
      <c r="F35" s="52"/>
      <c r="G35" s="44">
        <f>SUM(G29:G33)</f>
        <v>194236.11860936903</v>
      </c>
      <c r="H35" s="83"/>
    </row>
    <row r="36" spans="1:8" ht="15" thickBot="1" x14ac:dyDescent="0.4">
      <c r="A36" s="35" t="s">
        <v>39</v>
      </c>
      <c r="B36" s="36">
        <f>B27</f>
        <v>750</v>
      </c>
      <c r="C36" s="37">
        <f>D36/B36</f>
        <v>1166.7981783312814</v>
      </c>
      <c r="D36" s="38">
        <f>D35+D27</f>
        <v>875098.63374846103</v>
      </c>
      <c r="E36" s="36">
        <f>E27</f>
        <v>1400</v>
      </c>
      <c r="F36" s="37">
        <f>G36/E36</f>
        <v>931.68294186383503</v>
      </c>
      <c r="G36" s="38">
        <f>G35+G27</f>
        <v>1304356.118609369</v>
      </c>
      <c r="H36" s="83"/>
    </row>
    <row r="37" spans="1:8" x14ac:dyDescent="0.35">
      <c r="A37" s="53" t="s">
        <v>17</v>
      </c>
      <c r="B37" s="54">
        <f>B36</f>
        <v>750</v>
      </c>
      <c r="C37" s="55">
        <v>1200</v>
      </c>
      <c r="D37" s="56">
        <f>C37*B37</f>
        <v>900000</v>
      </c>
      <c r="E37" s="54">
        <f>E36</f>
        <v>1400</v>
      </c>
      <c r="F37" s="55">
        <v>1000</v>
      </c>
      <c r="G37" s="56">
        <f>F37*E37</f>
        <v>1400000</v>
      </c>
      <c r="H37" s="83"/>
    </row>
    <row r="38" spans="1:8" ht="15" thickBot="1" x14ac:dyDescent="0.4">
      <c r="A38" s="57" t="s">
        <v>40</v>
      </c>
      <c r="B38" s="58">
        <f>B37</f>
        <v>750</v>
      </c>
      <c r="C38" s="59">
        <f>C37-C36</f>
        <v>33.201821668718594</v>
      </c>
      <c r="D38" s="59">
        <f>D37-D36</f>
        <v>24901.366251538973</v>
      </c>
      <c r="E38" s="58">
        <f>E37</f>
        <v>1400</v>
      </c>
      <c r="F38" s="59">
        <f>F37-F36</f>
        <v>68.317058136164974</v>
      </c>
      <c r="G38" s="59">
        <f>G37-G36</f>
        <v>95643.881390630966</v>
      </c>
      <c r="H38" s="83">
        <f>G38+D38</f>
        <v>120545.24764216994</v>
      </c>
    </row>
  </sheetData>
  <mergeCells count="4">
    <mergeCell ref="A1:H1"/>
    <mergeCell ref="A15:G15"/>
    <mergeCell ref="B16:D16"/>
    <mergeCell ref="E16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70" zoomScaleNormal="70" workbookViewId="0">
      <selection sqref="A1:H1"/>
    </sheetView>
  </sheetViews>
  <sheetFormatPr baseColWidth="10" defaultRowHeight="14.5" x14ac:dyDescent="0.35"/>
  <sheetData>
    <row r="1" spans="1:8" ht="15" thickBot="1" x14ac:dyDescent="0.4">
      <c r="A1" s="145" t="s">
        <v>49</v>
      </c>
      <c r="B1" s="146"/>
      <c r="C1" s="146"/>
      <c r="D1" s="146"/>
      <c r="E1" s="146"/>
      <c r="F1" s="146"/>
      <c r="G1" s="146"/>
      <c r="H1" s="147"/>
    </row>
    <row r="2" spans="1:8" ht="15" thickBot="1" x14ac:dyDescent="0.4">
      <c r="A2" s="1"/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2</v>
      </c>
    </row>
    <row r="3" spans="1:8" ht="15" thickBot="1" x14ac:dyDescent="0.4">
      <c r="A3" s="4" t="s">
        <v>7</v>
      </c>
      <c r="B3" s="60">
        <v>56000</v>
      </c>
      <c r="C3" s="60">
        <v>28600</v>
      </c>
      <c r="D3" s="60">
        <v>76000</v>
      </c>
      <c r="E3" s="60">
        <v>86000</v>
      </c>
      <c r="F3" s="60">
        <v>75000</v>
      </c>
      <c r="G3" s="94">
        <v>20000</v>
      </c>
      <c r="H3" s="61">
        <v>23400</v>
      </c>
    </row>
    <row r="4" spans="1:8" x14ac:dyDescent="0.35">
      <c r="A4" s="5" t="s">
        <v>8</v>
      </c>
      <c r="B4" s="62"/>
      <c r="C4" s="62"/>
      <c r="D4" s="62"/>
      <c r="E4" s="62"/>
      <c r="F4" s="62"/>
      <c r="G4" s="62"/>
      <c r="H4" s="63"/>
    </row>
    <row r="5" spans="1:8" x14ac:dyDescent="0.35">
      <c r="A5" s="6" t="s">
        <v>0</v>
      </c>
      <c r="B5" s="64">
        <v>-57776.659959758552</v>
      </c>
      <c r="C5" s="64">
        <v>6933.1991951710261</v>
      </c>
      <c r="D5" s="64">
        <v>21955.13078470825</v>
      </c>
      <c r="E5" s="64"/>
      <c r="F5" s="64"/>
      <c r="G5" s="64">
        <v>28888.329979879276</v>
      </c>
    </row>
    <row r="6" spans="1:8" ht="15" thickBot="1" x14ac:dyDescent="0.4">
      <c r="A6" s="7" t="s">
        <v>9</v>
      </c>
      <c r="B6" s="8">
        <v>1776.6599597585512</v>
      </c>
      <c r="C6" s="8">
        <v>-35533.199195171022</v>
      </c>
      <c r="D6" s="8">
        <v>8439.1348088531176</v>
      </c>
      <c r="E6" s="8">
        <v>8439.1348088531176</v>
      </c>
      <c r="F6" s="8">
        <v>8439.1348088531176</v>
      </c>
      <c r="G6" s="8">
        <v>8439.1348088531176</v>
      </c>
      <c r="H6" s="65"/>
    </row>
    <row r="7" spans="1:8" ht="15" thickBot="1" x14ac:dyDescent="0.4">
      <c r="A7" s="9" t="s">
        <v>10</v>
      </c>
      <c r="B7" s="66">
        <f>B3+B6+B5</f>
        <v>0</v>
      </c>
      <c r="C7" s="66">
        <f t="shared" ref="C7:F7" si="0">C3+C6+C5</f>
        <v>0</v>
      </c>
      <c r="D7" s="66">
        <f t="shared" si="0"/>
        <v>106394.26559356137</v>
      </c>
      <c r="E7" s="66">
        <f t="shared" si="0"/>
        <v>94439.134808853123</v>
      </c>
      <c r="F7" s="66">
        <f t="shared" si="0"/>
        <v>83439.134808853123</v>
      </c>
      <c r="G7" s="66">
        <f>G6+G5+G3</f>
        <v>57327.464788732395</v>
      </c>
      <c r="H7" s="66">
        <f>H6+H5+H3</f>
        <v>23400</v>
      </c>
    </row>
    <row r="8" spans="1:8" ht="15" thickBot="1" x14ac:dyDescent="0.4">
      <c r="A8" s="10"/>
      <c r="B8" s="67"/>
      <c r="C8" s="67"/>
      <c r="D8" s="67"/>
      <c r="E8" s="67"/>
      <c r="F8" s="67"/>
      <c r="G8" s="67"/>
      <c r="H8" s="68"/>
    </row>
    <row r="9" spans="1:8" ht="26" x14ac:dyDescent="0.35">
      <c r="A9" s="5" t="s">
        <v>11</v>
      </c>
      <c r="B9" s="62"/>
      <c r="C9" s="69"/>
      <c r="D9" s="69" t="s">
        <v>14</v>
      </c>
      <c r="E9" s="69" t="s">
        <v>15</v>
      </c>
      <c r="F9" s="69" t="s">
        <v>16</v>
      </c>
      <c r="G9" s="82" t="s">
        <v>17</v>
      </c>
      <c r="H9" s="70" t="s">
        <v>18</v>
      </c>
    </row>
    <row r="10" spans="1:8" x14ac:dyDescent="0.35">
      <c r="A10" s="11" t="s">
        <v>12</v>
      </c>
      <c r="B10" s="71"/>
      <c r="C10" s="64"/>
      <c r="D10" s="64">
        <f>48+98+4+6</f>
        <v>156</v>
      </c>
      <c r="E10" s="64">
        <f>3*750+2.5*1400</f>
        <v>5750</v>
      </c>
      <c r="F10" s="64">
        <f>0.3*750+0.3*1400</f>
        <v>645</v>
      </c>
      <c r="G10" s="64">
        <f>1200*750+1000*1400</f>
        <v>2300000</v>
      </c>
      <c r="H10" s="72">
        <f>SUM(D7:G7)</f>
        <v>341600.00000000006</v>
      </c>
    </row>
    <row r="11" spans="1:8" ht="15" thickBot="1" x14ac:dyDescent="0.4">
      <c r="A11" s="12" t="s">
        <v>13</v>
      </c>
      <c r="B11" s="73"/>
      <c r="C11" s="74"/>
      <c r="D11" s="84">
        <f>D7/D10</f>
        <v>682.01452303564986</v>
      </c>
      <c r="E11" s="84">
        <f t="shared" ref="E11:H11" si="1">E7/E10</f>
        <v>16.424197358061413</v>
      </c>
      <c r="F11" s="84">
        <f t="shared" si="1"/>
        <v>129.36299970364826</v>
      </c>
      <c r="G11" s="98">
        <f>G7/G10</f>
        <v>2.4924984690753216E-2</v>
      </c>
      <c r="H11" s="97">
        <f t="shared" si="1"/>
        <v>6.8501170960187346E-2</v>
      </c>
    </row>
    <row r="12" spans="1:8" ht="15" thickBot="1" x14ac:dyDescent="0.4">
      <c r="A12" s="18"/>
    </row>
    <row r="13" spans="1:8" ht="19" thickBot="1" x14ac:dyDescent="0.5">
      <c r="A13" s="148" t="s">
        <v>50</v>
      </c>
      <c r="B13" s="149"/>
      <c r="C13" s="149"/>
      <c r="D13" s="149"/>
      <c r="E13" s="149"/>
      <c r="F13" s="149"/>
      <c r="G13" s="150"/>
    </row>
    <row r="14" spans="1:8" x14ac:dyDescent="0.35">
      <c r="A14" s="19"/>
      <c r="B14" s="151" t="s">
        <v>19</v>
      </c>
      <c r="C14" s="152"/>
      <c r="D14" s="153"/>
      <c r="E14" s="152" t="s">
        <v>20</v>
      </c>
      <c r="F14" s="152"/>
      <c r="G14" s="153"/>
    </row>
    <row r="15" spans="1:8" ht="15" thickBot="1" x14ac:dyDescent="0.4">
      <c r="A15" s="20"/>
      <c r="B15" s="21" t="s">
        <v>21</v>
      </c>
      <c r="C15" s="22" t="s">
        <v>22</v>
      </c>
      <c r="D15" s="23" t="s">
        <v>23</v>
      </c>
      <c r="E15" s="21" t="s">
        <v>21</v>
      </c>
      <c r="F15" s="22" t="s">
        <v>22</v>
      </c>
      <c r="G15" s="23" t="s">
        <v>23</v>
      </c>
    </row>
    <row r="16" spans="1:8" x14ac:dyDescent="0.35">
      <c r="A16" s="24" t="s">
        <v>24</v>
      </c>
      <c r="B16" s="25"/>
      <c r="C16" s="26"/>
      <c r="D16" s="27"/>
      <c r="E16" s="41"/>
      <c r="F16" s="26"/>
      <c r="G16" s="27"/>
    </row>
    <row r="17" spans="1:8" x14ac:dyDescent="0.35">
      <c r="A17" s="28" t="s">
        <v>25</v>
      </c>
      <c r="B17" s="29">
        <f>3*750</f>
        <v>2250</v>
      </c>
      <c r="C17" s="30">
        <v>230</v>
      </c>
      <c r="D17" s="31">
        <f>C17*B17</f>
        <v>517500</v>
      </c>
      <c r="E17" s="46"/>
      <c r="F17" s="30"/>
      <c r="G17" s="31"/>
    </row>
    <row r="18" spans="1:8" x14ac:dyDescent="0.35">
      <c r="A18" s="28" t="s">
        <v>26</v>
      </c>
      <c r="B18" s="29"/>
      <c r="C18" s="30"/>
      <c r="D18" s="31"/>
      <c r="E18" s="46">
        <f>2.5*1400</f>
        <v>3500</v>
      </c>
      <c r="F18" s="30">
        <v>210</v>
      </c>
      <c r="G18" s="31">
        <f>F18*E18</f>
        <v>735000</v>
      </c>
    </row>
    <row r="19" spans="1:8" x14ac:dyDescent="0.35">
      <c r="A19" s="28" t="s">
        <v>27</v>
      </c>
      <c r="B19" s="29">
        <f>1*750</f>
        <v>750</v>
      </c>
      <c r="C19" s="30">
        <v>20</v>
      </c>
      <c r="D19" s="31">
        <f>C19*B19</f>
        <v>15000</v>
      </c>
      <c r="E19" s="46"/>
      <c r="F19" s="30"/>
      <c r="G19" s="31"/>
    </row>
    <row r="20" spans="1:8" x14ac:dyDescent="0.35">
      <c r="A20" s="32" t="s">
        <v>28</v>
      </c>
      <c r="B20" s="33"/>
      <c r="C20" s="34"/>
      <c r="D20" s="31"/>
      <c r="E20" s="49">
        <f>0.9*1400</f>
        <v>1260</v>
      </c>
      <c r="F20" s="34">
        <v>12</v>
      </c>
      <c r="G20" s="31">
        <f>F20*E20</f>
        <v>15120</v>
      </c>
    </row>
    <row r="21" spans="1:8" x14ac:dyDescent="0.35">
      <c r="A21" s="28" t="s">
        <v>29</v>
      </c>
      <c r="B21" s="29">
        <f>8*750</f>
        <v>6000</v>
      </c>
      <c r="C21" s="30">
        <v>25</v>
      </c>
      <c r="D21" s="31">
        <f>C21*B21</f>
        <v>150000</v>
      </c>
      <c r="E21" s="46">
        <f>6*1400</f>
        <v>8400</v>
      </c>
      <c r="F21" s="30">
        <v>25</v>
      </c>
      <c r="G21" s="31">
        <f>F21*E21</f>
        <v>210000</v>
      </c>
    </row>
    <row r="22" spans="1:8" x14ac:dyDescent="0.35">
      <c r="A22" s="28" t="s">
        <v>30</v>
      </c>
      <c r="B22" s="29"/>
      <c r="C22" s="30"/>
      <c r="D22" s="31">
        <v>33500</v>
      </c>
      <c r="E22" s="46"/>
      <c r="F22" s="30"/>
      <c r="G22" s="17"/>
    </row>
    <row r="23" spans="1:8" x14ac:dyDescent="0.35">
      <c r="A23" s="28" t="s">
        <v>31</v>
      </c>
      <c r="B23" s="29"/>
      <c r="C23" s="30"/>
      <c r="D23" s="31"/>
      <c r="E23" s="46"/>
      <c r="F23" s="30"/>
      <c r="G23" s="31">
        <v>80000</v>
      </c>
    </row>
    <row r="24" spans="1:8" x14ac:dyDescent="0.35">
      <c r="A24" s="90" t="s">
        <v>43</v>
      </c>
      <c r="B24" s="91"/>
      <c r="C24" s="92"/>
      <c r="D24" s="93">
        <v>32000</v>
      </c>
      <c r="E24" s="49"/>
      <c r="F24" s="34"/>
      <c r="G24" s="89"/>
    </row>
    <row r="25" spans="1:8" ht="15" thickBot="1" x14ac:dyDescent="0.4">
      <c r="A25" s="75" t="s">
        <v>32</v>
      </c>
      <c r="B25" s="47">
        <f>750*1200</f>
        <v>900000</v>
      </c>
      <c r="C25" s="76">
        <v>0.05</v>
      </c>
      <c r="D25" s="48">
        <f>C25*B25</f>
        <v>45000</v>
      </c>
      <c r="E25" s="79">
        <f>1000*1400</f>
        <v>1400000</v>
      </c>
      <c r="F25" s="76">
        <v>0.05</v>
      </c>
      <c r="G25" s="48">
        <f>F25*E25</f>
        <v>70000</v>
      </c>
    </row>
    <row r="26" spans="1:8" ht="15" thickBot="1" x14ac:dyDescent="0.4">
      <c r="A26" s="16" t="s">
        <v>33</v>
      </c>
      <c r="B26" s="36">
        <f>750</f>
        <v>750</v>
      </c>
      <c r="C26" s="37">
        <f>D26/B26</f>
        <v>1057.3333333333333</v>
      </c>
      <c r="D26" s="38">
        <f>SUM(D16:D25)</f>
        <v>793000</v>
      </c>
      <c r="E26" s="80">
        <v>1400</v>
      </c>
      <c r="F26" s="37">
        <f>G26/E26</f>
        <v>792.94285714285718</v>
      </c>
      <c r="G26" s="38">
        <f>SUM(G16:G25)</f>
        <v>1110120</v>
      </c>
      <c r="H26" s="83"/>
    </row>
    <row r="27" spans="1:8" x14ac:dyDescent="0.35">
      <c r="A27" s="24" t="s">
        <v>34</v>
      </c>
      <c r="B27" s="39"/>
      <c r="C27" s="40"/>
      <c r="D27" s="27"/>
      <c r="E27" s="41"/>
      <c r="F27" s="26"/>
      <c r="G27" s="27"/>
    </row>
    <row r="28" spans="1:8" x14ac:dyDescent="0.35">
      <c r="A28" s="45" t="s">
        <v>3</v>
      </c>
      <c r="B28" s="29">
        <f>52</f>
        <v>52</v>
      </c>
      <c r="C28" s="42">
        <f>D11</f>
        <v>682.01452303564986</v>
      </c>
      <c r="D28" s="31">
        <f>C28*B28</f>
        <v>35464.755197853796</v>
      </c>
      <c r="E28" s="46">
        <v>104</v>
      </c>
      <c r="F28" s="42">
        <f>C28</f>
        <v>682.01452303564986</v>
      </c>
      <c r="G28" s="31">
        <f>F28*E28</f>
        <v>70929.510395707592</v>
      </c>
    </row>
    <row r="29" spans="1:8" x14ac:dyDescent="0.35">
      <c r="A29" s="45" t="s">
        <v>4</v>
      </c>
      <c r="B29" s="29">
        <f>3*750</f>
        <v>2250</v>
      </c>
      <c r="C29" s="43">
        <f>E11</f>
        <v>16.424197358061413</v>
      </c>
      <c r="D29" s="31">
        <f t="shared" ref="D29:D32" si="2">C29*B29</f>
        <v>36954.444055638181</v>
      </c>
      <c r="E29" s="46">
        <f>2.5*1400</f>
        <v>3500</v>
      </c>
      <c r="F29" s="42">
        <f t="shared" ref="F29:F31" si="3">C29</f>
        <v>16.424197358061413</v>
      </c>
      <c r="G29" s="31">
        <f t="shared" ref="G29:G32" si="4">F29*E29</f>
        <v>57484.690753214942</v>
      </c>
    </row>
    <row r="30" spans="1:8" x14ac:dyDescent="0.35">
      <c r="A30" s="45" t="s">
        <v>36</v>
      </c>
      <c r="B30" s="29">
        <f>0.3*750</f>
        <v>225</v>
      </c>
      <c r="C30" s="42">
        <f>F11</f>
        <v>129.36299970364826</v>
      </c>
      <c r="D30" s="31">
        <f t="shared" si="2"/>
        <v>29106.674933320857</v>
      </c>
      <c r="E30" s="46">
        <f>0.3*1400</f>
        <v>420</v>
      </c>
      <c r="F30" s="42">
        <f t="shared" si="3"/>
        <v>129.36299970364826</v>
      </c>
      <c r="G30" s="31">
        <f t="shared" si="4"/>
        <v>54332.459875532266</v>
      </c>
    </row>
    <row r="31" spans="1:8" x14ac:dyDescent="0.35">
      <c r="A31" s="45" t="s">
        <v>35</v>
      </c>
      <c r="B31" s="29">
        <f>1200*750</f>
        <v>900000</v>
      </c>
      <c r="C31" s="96">
        <f>G11</f>
        <v>2.4924984690753216E-2</v>
      </c>
      <c r="D31" s="31">
        <f t="shared" si="2"/>
        <v>22432.486221677893</v>
      </c>
      <c r="E31" s="46">
        <f>1400*1000</f>
        <v>1400000</v>
      </c>
      <c r="F31" s="96">
        <f t="shared" si="3"/>
        <v>2.4924984690753216E-2</v>
      </c>
      <c r="G31" s="31">
        <f t="shared" si="4"/>
        <v>34894.978567054502</v>
      </c>
    </row>
    <row r="32" spans="1:8" x14ac:dyDescent="0.35">
      <c r="A32" s="28" t="s">
        <v>37</v>
      </c>
      <c r="B32" s="29">
        <f>SUM(D28:D31)</f>
        <v>123958.36040849073</v>
      </c>
      <c r="C32" s="42">
        <f>H11</f>
        <v>6.8501170960187346E-2</v>
      </c>
      <c r="D32" s="31">
        <f t="shared" si="2"/>
        <v>8491.2928382865412</v>
      </c>
      <c r="E32" s="29">
        <f>SUM(G28:G31)</f>
        <v>217641.6395915093</v>
      </c>
      <c r="F32" s="42">
        <f>H11</f>
        <v>6.8501170960187346E-2</v>
      </c>
      <c r="G32" s="31">
        <f t="shared" si="4"/>
        <v>14908.707161713457</v>
      </c>
    </row>
    <row r="33" spans="1:8" ht="15" thickBot="1" x14ac:dyDescent="0.4">
      <c r="A33" s="78"/>
      <c r="B33" s="47"/>
      <c r="C33" s="77"/>
      <c r="D33" s="48"/>
      <c r="E33" s="79"/>
      <c r="F33" s="77"/>
      <c r="G33" s="48"/>
    </row>
    <row r="34" spans="1:8" ht="15" thickBot="1" x14ac:dyDescent="0.4">
      <c r="A34" s="50" t="s">
        <v>38</v>
      </c>
      <c r="B34" s="51"/>
      <c r="C34" s="52"/>
      <c r="D34" s="44">
        <f>SUM(D28:D32)</f>
        <v>132449.65324677728</v>
      </c>
      <c r="E34" s="81"/>
      <c r="F34" s="52"/>
      <c r="G34" s="44">
        <f>SUM(G28:G32)</f>
        <v>232550.34675322275</v>
      </c>
      <c r="H34" s="83"/>
    </row>
    <row r="35" spans="1:8" ht="15" thickBot="1" x14ac:dyDescent="0.4">
      <c r="A35" s="35" t="s">
        <v>39</v>
      </c>
      <c r="B35" s="36">
        <f>B26</f>
        <v>750</v>
      </c>
      <c r="C35" s="37">
        <f>D35/B35</f>
        <v>1233.9328709957031</v>
      </c>
      <c r="D35" s="38">
        <f>D34+D26</f>
        <v>925449.65324677725</v>
      </c>
      <c r="E35" s="36">
        <f>E26</f>
        <v>1400</v>
      </c>
      <c r="F35" s="37">
        <f>G35/E35</f>
        <v>959.05024768087344</v>
      </c>
      <c r="G35" s="38">
        <f>G34+G26</f>
        <v>1342670.3467532229</v>
      </c>
      <c r="H35" s="83"/>
    </row>
    <row r="36" spans="1:8" x14ac:dyDescent="0.35">
      <c r="A36" s="53" t="s">
        <v>17</v>
      </c>
      <c r="B36" s="54">
        <f>B35</f>
        <v>750</v>
      </c>
      <c r="C36" s="55">
        <v>1200</v>
      </c>
      <c r="D36" s="56">
        <f>C36*B36</f>
        <v>900000</v>
      </c>
      <c r="E36" s="54">
        <f>E35</f>
        <v>1400</v>
      </c>
      <c r="F36" s="55">
        <v>1000</v>
      </c>
      <c r="G36" s="56">
        <f>F36*E36</f>
        <v>1400000</v>
      </c>
      <c r="H36" s="83"/>
    </row>
    <row r="37" spans="1:8" ht="15" thickBot="1" x14ac:dyDescent="0.4">
      <c r="A37" s="57" t="s">
        <v>40</v>
      </c>
      <c r="B37" s="58">
        <f>B36</f>
        <v>750</v>
      </c>
      <c r="C37" s="59">
        <f>C36-C35</f>
        <v>-33.93287099570307</v>
      </c>
      <c r="D37" s="59">
        <f>D36-D35</f>
        <v>-25449.653246777249</v>
      </c>
      <c r="E37" s="58">
        <f>E36</f>
        <v>1400</v>
      </c>
      <c r="F37" s="59">
        <f>F36-F35</f>
        <v>40.94975231912656</v>
      </c>
      <c r="G37" s="59">
        <f>G36-G35</f>
        <v>57329.653246777132</v>
      </c>
      <c r="H37" s="83">
        <f t="shared" ref="H37" si="5">G37+D37</f>
        <v>31879.999999999884</v>
      </c>
    </row>
    <row r="38" spans="1:8" x14ac:dyDescent="0.35">
      <c r="H38" s="83"/>
    </row>
  </sheetData>
  <mergeCells count="4">
    <mergeCell ref="A1:H1"/>
    <mergeCell ref="A13:G13"/>
    <mergeCell ref="B14:D14"/>
    <mergeCell ref="E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70" zoomScaleNormal="70" workbookViewId="0">
      <selection sqref="A1:I1"/>
    </sheetView>
  </sheetViews>
  <sheetFormatPr baseColWidth="10" defaultRowHeight="14.5" x14ac:dyDescent="0.35"/>
  <cols>
    <col min="2" max="2" width="9" bestFit="1" customWidth="1"/>
    <col min="3" max="3" width="9.7265625" bestFit="1" customWidth="1"/>
    <col min="6" max="6" width="9.7265625" bestFit="1" customWidth="1"/>
    <col min="7" max="7" width="10" bestFit="1" customWidth="1"/>
    <col min="8" max="8" width="8.7265625" bestFit="1" customWidth="1"/>
    <col min="9" max="9" width="8.26953125" bestFit="1" customWidth="1"/>
  </cols>
  <sheetData>
    <row r="1" spans="1:9" ht="15" thickBot="1" x14ac:dyDescent="0.4">
      <c r="A1" s="154" t="s">
        <v>51</v>
      </c>
      <c r="B1" s="155"/>
      <c r="C1" s="155"/>
      <c r="D1" s="155"/>
      <c r="E1" s="155"/>
      <c r="F1" s="155"/>
      <c r="G1" s="155"/>
      <c r="H1" s="155"/>
      <c r="I1" s="156"/>
    </row>
    <row r="2" spans="1:9" x14ac:dyDescent="0.35">
      <c r="A2" s="104"/>
      <c r="B2" s="105" t="s">
        <v>0</v>
      </c>
      <c r="C2" s="105" t="s">
        <v>1</v>
      </c>
      <c r="D2" s="105" t="s">
        <v>42</v>
      </c>
      <c r="E2" s="105" t="s">
        <v>41</v>
      </c>
      <c r="F2" s="105" t="s">
        <v>4</v>
      </c>
      <c r="G2" s="105" t="s">
        <v>5</v>
      </c>
      <c r="H2" s="105" t="s">
        <v>6</v>
      </c>
      <c r="I2" s="106" t="s">
        <v>2</v>
      </c>
    </row>
    <row r="3" spans="1:9" x14ac:dyDescent="0.35">
      <c r="A3" s="107" t="s">
        <v>7</v>
      </c>
      <c r="B3" s="64">
        <v>56000</v>
      </c>
      <c r="C3" s="64">
        <v>28600</v>
      </c>
      <c r="D3" s="100">
        <v>52000</v>
      </c>
      <c r="E3" s="103">
        <v>24000</v>
      </c>
      <c r="F3" s="64">
        <v>86000</v>
      </c>
      <c r="G3" s="64">
        <v>75000</v>
      </c>
      <c r="H3" s="64">
        <v>52000</v>
      </c>
      <c r="I3" s="72">
        <v>23400</v>
      </c>
    </row>
    <row r="4" spans="1:9" x14ac:dyDescent="0.35">
      <c r="A4" s="11" t="s">
        <v>8</v>
      </c>
      <c r="B4" s="64"/>
      <c r="C4" s="64"/>
      <c r="D4" s="100"/>
      <c r="E4" s="103"/>
      <c r="F4" s="64"/>
      <c r="G4" s="64"/>
      <c r="H4" s="64"/>
      <c r="I4" s="72"/>
    </row>
    <row r="5" spans="1:9" x14ac:dyDescent="0.35">
      <c r="A5" s="6" t="s">
        <v>0</v>
      </c>
      <c r="B5" s="64">
        <v>-57776.659959758552</v>
      </c>
      <c r="C5" s="64">
        <v>6933.1991951710261</v>
      </c>
      <c r="D5" s="100">
        <f>21955.1307847082/2</f>
        <v>10977.565392354099</v>
      </c>
      <c r="E5" s="100">
        <f>21955.1307847082/2</f>
        <v>10977.565392354099</v>
      </c>
      <c r="F5" s="88"/>
      <c r="G5" s="64"/>
      <c r="H5" s="64">
        <f>-0.5*B5</f>
        <v>28888.329979879276</v>
      </c>
      <c r="I5" s="108"/>
    </row>
    <row r="6" spans="1:9" x14ac:dyDescent="0.35">
      <c r="A6" s="6" t="s">
        <v>9</v>
      </c>
      <c r="B6" s="64">
        <v>1776.6599597585512</v>
      </c>
      <c r="C6" s="64">
        <v>-35533.199195171022</v>
      </c>
      <c r="D6" s="100">
        <f>8439.13480885312/2</f>
        <v>4219.5674044265597</v>
      </c>
      <c r="E6" s="100">
        <f>8439.13480885312/2</f>
        <v>4219.5674044265597</v>
      </c>
      <c r="F6" s="88">
        <v>8439</v>
      </c>
      <c r="G6" s="64">
        <v>8439.1348088531176</v>
      </c>
      <c r="H6" s="64">
        <v>8439.1348088531176</v>
      </c>
      <c r="I6" s="108"/>
    </row>
    <row r="7" spans="1:9" ht="15" thickBot="1" x14ac:dyDescent="0.4">
      <c r="A7" s="109" t="s">
        <v>10</v>
      </c>
      <c r="B7" s="110">
        <f>B3+B6+B5</f>
        <v>0</v>
      </c>
      <c r="C7" s="110">
        <f t="shared" ref="C7:E7" si="0">C3+C6+C5</f>
        <v>0</v>
      </c>
      <c r="D7" s="110">
        <f t="shared" si="0"/>
        <v>67197.132796780657</v>
      </c>
      <c r="E7" s="110">
        <f t="shared" si="0"/>
        <v>39197.132796780657</v>
      </c>
      <c r="F7" s="110">
        <f t="shared" ref="F7:H7" si="1">SUM(F3:F6)</f>
        <v>94439</v>
      </c>
      <c r="G7" s="110">
        <f t="shared" si="1"/>
        <v>83439.134808853123</v>
      </c>
      <c r="H7" s="110">
        <f t="shared" si="1"/>
        <v>89327.464788732395</v>
      </c>
      <c r="I7" s="111">
        <f>SUM(I3:I6)</f>
        <v>23400</v>
      </c>
    </row>
    <row r="8" spans="1:9" ht="15" thickBot="1" x14ac:dyDescent="0.4">
      <c r="A8" s="112"/>
      <c r="B8" s="67"/>
      <c r="C8" s="67"/>
      <c r="D8" s="101"/>
      <c r="E8" s="113"/>
      <c r="F8" s="67"/>
      <c r="G8" s="67"/>
      <c r="H8" s="67"/>
      <c r="I8" s="114"/>
    </row>
    <row r="9" spans="1:9" ht="28.5" customHeight="1" x14ac:dyDescent="0.35">
      <c r="A9" s="5" t="s">
        <v>11</v>
      </c>
      <c r="B9" s="62"/>
      <c r="C9" s="69"/>
      <c r="D9" s="102" t="s">
        <v>44</v>
      </c>
      <c r="E9" s="115" t="s">
        <v>45</v>
      </c>
      <c r="F9" s="69" t="s">
        <v>15</v>
      </c>
      <c r="G9" s="69" t="s">
        <v>16</v>
      </c>
      <c r="H9" s="82" t="s">
        <v>17</v>
      </c>
      <c r="I9" s="99" t="s">
        <v>18</v>
      </c>
    </row>
    <row r="10" spans="1:9" x14ac:dyDescent="0.35">
      <c r="A10" s="11" t="s">
        <v>12</v>
      </c>
      <c r="B10" s="71"/>
      <c r="C10" s="64"/>
      <c r="D10" s="100">
        <f>48+98</f>
        <v>146</v>
      </c>
      <c r="E10" s="103">
        <v>10</v>
      </c>
      <c r="F10" s="64">
        <f>3*750+2.5*1400</f>
        <v>5750</v>
      </c>
      <c r="G10" s="64">
        <f>0.3*750+0.3*1400</f>
        <v>645</v>
      </c>
      <c r="H10" s="64">
        <f>1200*750+1000*1400</f>
        <v>2300000</v>
      </c>
      <c r="I10" s="72">
        <f>SUM(D7:H7)</f>
        <v>373599.86519114685</v>
      </c>
    </row>
    <row r="11" spans="1:9" ht="15" thickBot="1" x14ac:dyDescent="0.4">
      <c r="A11" s="12" t="s">
        <v>13</v>
      </c>
      <c r="B11" s="73"/>
      <c r="C11" s="74"/>
      <c r="D11" s="95">
        <f>D7/D10</f>
        <v>460.25433422452505</v>
      </c>
      <c r="E11" s="116">
        <f>E7/E10</f>
        <v>3919.7132796780656</v>
      </c>
      <c r="F11" s="84">
        <f t="shared" ref="F11:I11" si="2">F7/F10</f>
        <v>16.424173913043479</v>
      </c>
      <c r="G11" s="84">
        <f t="shared" si="2"/>
        <v>129.36299970364826</v>
      </c>
      <c r="H11" s="84">
        <f>H7/H10</f>
        <v>3.8838028169014084E-2</v>
      </c>
      <c r="I11" s="117">
        <f t="shared" si="2"/>
        <v>6.2633855577083078E-2</v>
      </c>
    </row>
    <row r="12" spans="1:9" x14ac:dyDescent="0.35">
      <c r="A12" s="13"/>
      <c r="B12" s="14"/>
      <c r="C12" s="15"/>
      <c r="D12" s="15"/>
      <c r="E12" s="15"/>
      <c r="F12" s="15"/>
      <c r="G12" s="15"/>
      <c r="H12" s="15"/>
    </row>
    <row r="14" spans="1:9" ht="15" thickBot="1" x14ac:dyDescent="0.4">
      <c r="A14" s="18"/>
    </row>
    <row r="15" spans="1:9" ht="19" thickBot="1" x14ac:dyDescent="0.5">
      <c r="A15" s="148" t="s">
        <v>52</v>
      </c>
      <c r="B15" s="149"/>
      <c r="C15" s="149"/>
      <c r="D15" s="149"/>
      <c r="E15" s="149"/>
      <c r="F15" s="149"/>
      <c r="G15" s="150"/>
    </row>
    <row r="16" spans="1:9" x14ac:dyDescent="0.35">
      <c r="A16" s="19"/>
      <c r="B16" s="151" t="s">
        <v>19</v>
      </c>
      <c r="C16" s="152"/>
      <c r="D16" s="153"/>
      <c r="E16" s="152" t="s">
        <v>20</v>
      </c>
      <c r="F16" s="152"/>
      <c r="G16" s="153"/>
    </row>
    <row r="17" spans="1:8" ht="15" thickBot="1" x14ac:dyDescent="0.4">
      <c r="A17" s="20"/>
      <c r="B17" s="21" t="s">
        <v>21</v>
      </c>
      <c r="C17" s="22" t="s">
        <v>22</v>
      </c>
      <c r="D17" s="23" t="s">
        <v>23</v>
      </c>
      <c r="E17" s="21" t="s">
        <v>21</v>
      </c>
      <c r="F17" s="22" t="s">
        <v>22</v>
      </c>
      <c r="G17" s="23" t="s">
        <v>23</v>
      </c>
    </row>
    <row r="18" spans="1:8" x14ac:dyDescent="0.35">
      <c r="A18" s="24" t="s">
        <v>24</v>
      </c>
      <c r="B18" s="25"/>
      <c r="C18" s="26"/>
      <c r="D18" s="27"/>
      <c r="E18" s="41"/>
      <c r="F18" s="26"/>
      <c r="G18" s="27"/>
    </row>
    <row r="19" spans="1:8" x14ac:dyDescent="0.35">
      <c r="A19" s="28" t="s">
        <v>25</v>
      </c>
      <c r="B19" s="29">
        <f>3*750</f>
        <v>2250</v>
      </c>
      <c r="C19" s="30">
        <v>230</v>
      </c>
      <c r="D19" s="31">
        <f>C19*B19</f>
        <v>517500</v>
      </c>
      <c r="E19" s="46"/>
      <c r="F19" s="30"/>
      <c r="G19" s="31"/>
    </row>
    <row r="20" spans="1:8" x14ac:dyDescent="0.35">
      <c r="A20" s="28" t="s">
        <v>26</v>
      </c>
      <c r="B20" s="29"/>
      <c r="C20" s="30"/>
      <c r="D20" s="31"/>
      <c r="E20" s="46">
        <f>2.5*1400</f>
        <v>3500</v>
      </c>
      <c r="F20" s="30">
        <v>210</v>
      </c>
      <c r="G20" s="31">
        <f>F20*E20</f>
        <v>735000</v>
      </c>
    </row>
    <row r="21" spans="1:8" x14ac:dyDescent="0.35">
      <c r="A21" s="28" t="s">
        <v>27</v>
      </c>
      <c r="B21" s="29">
        <f>1*750</f>
        <v>750</v>
      </c>
      <c r="C21" s="30">
        <v>20</v>
      </c>
      <c r="D21" s="31">
        <f>C21*B21</f>
        <v>15000</v>
      </c>
      <c r="E21" s="46"/>
      <c r="F21" s="30"/>
      <c r="G21" s="31"/>
    </row>
    <row r="22" spans="1:8" x14ac:dyDescent="0.35">
      <c r="A22" s="32" t="s">
        <v>28</v>
      </c>
      <c r="B22" s="33"/>
      <c r="C22" s="34"/>
      <c r="D22" s="31"/>
      <c r="E22" s="49">
        <f>0.9*1400</f>
        <v>1260</v>
      </c>
      <c r="F22" s="34">
        <v>12</v>
      </c>
      <c r="G22" s="31">
        <f>F22*E22</f>
        <v>15120</v>
      </c>
    </row>
    <row r="23" spans="1:8" x14ac:dyDescent="0.35">
      <c r="A23" s="28" t="s">
        <v>29</v>
      </c>
      <c r="B23" s="29">
        <f>8*750</f>
        <v>6000</v>
      </c>
      <c r="C23" s="30">
        <v>25</v>
      </c>
      <c r="D23" s="31">
        <f>C23*B23</f>
        <v>150000</v>
      </c>
      <c r="E23" s="46">
        <f>6*1400</f>
        <v>8400</v>
      </c>
      <c r="F23" s="30">
        <v>25</v>
      </c>
      <c r="G23" s="31">
        <f>F23*E23</f>
        <v>210000</v>
      </c>
    </row>
    <row r="24" spans="1:8" x14ac:dyDescent="0.35">
      <c r="A24" s="28" t="s">
        <v>30</v>
      </c>
      <c r="B24" s="29"/>
      <c r="C24" s="30"/>
      <c r="D24" s="31">
        <v>33500</v>
      </c>
      <c r="E24" s="46"/>
      <c r="F24" s="30"/>
      <c r="G24" s="17"/>
    </row>
    <row r="25" spans="1:8" x14ac:dyDescent="0.35">
      <c r="A25" s="28" t="s">
        <v>31</v>
      </c>
      <c r="B25" s="29"/>
      <c r="C25" s="30"/>
      <c r="D25" s="31"/>
      <c r="E25" s="46"/>
      <c r="F25" s="30"/>
      <c r="G25" s="31">
        <v>80000</v>
      </c>
    </row>
    <row r="26" spans="1:8" ht="15" thickBot="1" x14ac:dyDescent="0.4">
      <c r="A26" s="75" t="s">
        <v>32</v>
      </c>
      <c r="B26" s="47">
        <f>750*1200</f>
        <v>900000</v>
      </c>
      <c r="C26" s="76">
        <v>0.05</v>
      </c>
      <c r="D26" s="48">
        <f>C26*B26</f>
        <v>45000</v>
      </c>
      <c r="E26" s="79">
        <f>1000*1400</f>
        <v>1400000</v>
      </c>
      <c r="F26" s="76">
        <v>0.05</v>
      </c>
      <c r="G26" s="48">
        <f>F26*E26</f>
        <v>70000</v>
      </c>
    </row>
    <row r="27" spans="1:8" ht="15" thickBot="1" x14ac:dyDescent="0.4">
      <c r="A27" s="16" t="s">
        <v>33</v>
      </c>
      <c r="B27" s="36">
        <f>750</f>
        <v>750</v>
      </c>
      <c r="C27" s="37">
        <f>D27/B27</f>
        <v>1014.6666666666666</v>
      </c>
      <c r="D27" s="38">
        <f>SUM(D18:D26)</f>
        <v>761000</v>
      </c>
      <c r="E27" s="80">
        <v>1400</v>
      </c>
      <c r="F27" s="37">
        <f>G27/E27</f>
        <v>792.94285714285718</v>
      </c>
      <c r="G27" s="38">
        <f>SUM(G18:G26)</f>
        <v>1110120</v>
      </c>
      <c r="H27" s="83"/>
    </row>
    <row r="28" spans="1:8" x14ac:dyDescent="0.35">
      <c r="A28" s="24" t="s">
        <v>34</v>
      </c>
      <c r="B28" s="39"/>
      <c r="C28" s="40"/>
      <c r="D28" s="27"/>
      <c r="E28" s="41"/>
      <c r="F28" s="26"/>
      <c r="G28" s="27"/>
    </row>
    <row r="29" spans="1:8" x14ac:dyDescent="0.35">
      <c r="A29" s="131" t="s">
        <v>42</v>
      </c>
      <c r="B29" s="132">
        <v>48</v>
      </c>
      <c r="C29" s="96">
        <f>D11</f>
        <v>460.25433422452505</v>
      </c>
      <c r="D29" s="133">
        <f>C29*B29</f>
        <v>22092.208042777202</v>
      </c>
      <c r="E29" s="134">
        <v>98</v>
      </c>
      <c r="F29" s="96">
        <f>C29</f>
        <v>460.25433422452505</v>
      </c>
      <c r="G29" s="133">
        <f>F29*E29</f>
        <v>45104.924754003456</v>
      </c>
    </row>
    <row r="30" spans="1:8" x14ac:dyDescent="0.35">
      <c r="A30" s="131" t="s">
        <v>46</v>
      </c>
      <c r="B30" s="132">
        <v>4</v>
      </c>
      <c r="C30" s="96">
        <f>E11</f>
        <v>3919.7132796780656</v>
      </c>
      <c r="D30" s="133">
        <f>C30*B30</f>
        <v>15678.853118712263</v>
      </c>
      <c r="E30" s="134">
        <v>6</v>
      </c>
      <c r="F30" s="96">
        <f>E11</f>
        <v>3919.7132796780656</v>
      </c>
      <c r="G30" s="133">
        <f>F30*E30</f>
        <v>23518.279678068393</v>
      </c>
    </row>
    <row r="31" spans="1:8" x14ac:dyDescent="0.35">
      <c r="A31" s="45" t="s">
        <v>4</v>
      </c>
      <c r="B31" s="29">
        <f>3*750</f>
        <v>2250</v>
      </c>
      <c r="C31" s="43">
        <f>F11</f>
        <v>16.424173913043479</v>
      </c>
      <c r="D31" s="31">
        <f t="shared" ref="D31:D34" si="3">C31*B31</f>
        <v>36954.391304347824</v>
      </c>
      <c r="E31" s="46">
        <f>2.5*1400</f>
        <v>3500</v>
      </c>
      <c r="F31" s="42">
        <f t="shared" ref="F31:F33" si="4">C31</f>
        <v>16.424173913043479</v>
      </c>
      <c r="G31" s="31">
        <f t="shared" ref="G31:G34" si="5">F31*E31</f>
        <v>57484.608695652176</v>
      </c>
    </row>
    <row r="32" spans="1:8" x14ac:dyDescent="0.35">
      <c r="A32" s="45" t="s">
        <v>36</v>
      </c>
      <c r="B32" s="29">
        <f>0.3*750</f>
        <v>225</v>
      </c>
      <c r="C32" s="42">
        <f>G11</f>
        <v>129.36299970364826</v>
      </c>
      <c r="D32" s="31">
        <f t="shared" si="3"/>
        <v>29106.674933320857</v>
      </c>
      <c r="E32" s="46">
        <f>0.3*1400</f>
        <v>420</v>
      </c>
      <c r="F32" s="42">
        <f t="shared" si="4"/>
        <v>129.36299970364826</v>
      </c>
      <c r="G32" s="31">
        <f t="shared" si="5"/>
        <v>54332.459875532266</v>
      </c>
    </row>
    <row r="33" spans="1:9" x14ac:dyDescent="0.35">
      <c r="A33" s="45" t="s">
        <v>35</v>
      </c>
      <c r="B33" s="29">
        <f>1200*750</f>
        <v>900000</v>
      </c>
      <c r="C33" s="42">
        <f>H11</f>
        <v>3.8838028169014084E-2</v>
      </c>
      <c r="D33" s="31">
        <f t="shared" si="3"/>
        <v>34954.225352112677</v>
      </c>
      <c r="E33" s="46">
        <f>1400*1000</f>
        <v>1400000</v>
      </c>
      <c r="F33" s="42">
        <f t="shared" si="4"/>
        <v>3.8838028169014084E-2</v>
      </c>
      <c r="G33" s="31">
        <f t="shared" si="5"/>
        <v>54373.239436619719</v>
      </c>
    </row>
    <row r="34" spans="1:9" x14ac:dyDescent="0.35">
      <c r="A34" s="28" t="s">
        <v>37</v>
      </c>
      <c r="B34" s="29">
        <f>SUM(D29:D33)</f>
        <v>138786.35275127084</v>
      </c>
      <c r="C34" s="42">
        <f>I11</f>
        <v>6.2633855577083078E-2</v>
      </c>
      <c r="D34" s="31">
        <f t="shared" si="3"/>
        <v>8692.7243742932042</v>
      </c>
      <c r="E34" s="29">
        <f>SUM(G29:G33)</f>
        <v>234813.51243987601</v>
      </c>
      <c r="F34" s="42">
        <f>I11</f>
        <v>6.2633855577083078E-2</v>
      </c>
      <c r="G34" s="31">
        <f t="shared" si="5"/>
        <v>14707.275625706794</v>
      </c>
    </row>
    <row r="35" spans="1:9" ht="15" thickBot="1" x14ac:dyDescent="0.4">
      <c r="A35" s="78"/>
      <c r="B35" s="47"/>
      <c r="C35" s="77"/>
      <c r="D35" s="48"/>
      <c r="E35" s="79"/>
      <c r="F35" s="77"/>
      <c r="G35" s="48"/>
    </row>
    <row r="36" spans="1:9" ht="15" thickBot="1" x14ac:dyDescent="0.4">
      <c r="A36" s="50" t="s">
        <v>38</v>
      </c>
      <c r="B36" s="51"/>
      <c r="C36" s="52"/>
      <c r="D36" s="44">
        <f>SUM(D29:D34)</f>
        <v>147479.07712556404</v>
      </c>
      <c r="E36" s="81"/>
      <c r="F36" s="52"/>
      <c r="G36" s="44">
        <f>SUM(G29:G34)</f>
        <v>249520.7880655828</v>
      </c>
      <c r="H36" s="83"/>
      <c r="I36" s="83"/>
    </row>
    <row r="37" spans="1:9" ht="15" thickBot="1" x14ac:dyDescent="0.4">
      <c r="A37" s="35" t="s">
        <v>39</v>
      </c>
      <c r="B37" s="36">
        <f>B27</f>
        <v>750</v>
      </c>
      <c r="C37" s="37">
        <f>D37/B37</f>
        <v>1211.3054361674187</v>
      </c>
      <c r="D37" s="38">
        <f>D36+D27</f>
        <v>908479.07712556398</v>
      </c>
      <c r="E37" s="36">
        <f>E27</f>
        <v>1400</v>
      </c>
      <c r="F37" s="37">
        <f>G37/E37</f>
        <v>971.17199147541623</v>
      </c>
      <c r="G37" s="38">
        <f>G36+G27</f>
        <v>1359640.7880655827</v>
      </c>
      <c r="H37" s="83"/>
    </row>
    <row r="38" spans="1:9" x14ac:dyDescent="0.35">
      <c r="A38" s="53" t="s">
        <v>17</v>
      </c>
      <c r="B38" s="54">
        <f>B37</f>
        <v>750</v>
      </c>
      <c r="C38" s="55">
        <v>1200</v>
      </c>
      <c r="D38" s="56">
        <f>C38*B38</f>
        <v>900000</v>
      </c>
      <c r="E38" s="54">
        <f>E37</f>
        <v>1400</v>
      </c>
      <c r="F38" s="55">
        <v>1000</v>
      </c>
      <c r="G38" s="56">
        <f>F38*E38</f>
        <v>1400000</v>
      </c>
      <c r="H38" s="83"/>
    </row>
    <row r="39" spans="1:9" ht="15" thickBot="1" x14ac:dyDescent="0.4">
      <c r="A39" s="57" t="s">
        <v>40</v>
      </c>
      <c r="B39" s="58">
        <f>B38</f>
        <v>750</v>
      </c>
      <c r="C39" s="59">
        <f>C38-C37</f>
        <v>-11.305436167418748</v>
      </c>
      <c r="D39" s="59">
        <f>D38-D37</f>
        <v>-8479.0771255639847</v>
      </c>
      <c r="E39" s="58">
        <f>E38</f>
        <v>1400</v>
      </c>
      <c r="F39" s="59">
        <f>F38-F37</f>
        <v>28.828008524583765</v>
      </c>
      <c r="G39" s="59">
        <f>G38-G37</f>
        <v>40359.211934417253</v>
      </c>
      <c r="H39" s="83">
        <f>G39+D39</f>
        <v>31880.134808853269</v>
      </c>
      <c r="I39" s="83"/>
    </row>
  </sheetData>
  <mergeCells count="4">
    <mergeCell ref="A15:G15"/>
    <mergeCell ref="B16:D16"/>
    <mergeCell ref="E16:G16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70" zoomScaleNormal="70" workbookViewId="0">
      <selection activeCell="I11" sqref="I11"/>
    </sheetView>
  </sheetViews>
  <sheetFormatPr baseColWidth="10" defaultRowHeight="14.5" x14ac:dyDescent="0.35"/>
  <sheetData>
    <row r="1" spans="1:8" ht="19" thickBot="1" x14ac:dyDescent="0.5">
      <c r="A1" s="157" t="s">
        <v>54</v>
      </c>
      <c r="B1" s="158"/>
      <c r="C1" s="158"/>
      <c r="D1" s="158"/>
      <c r="E1" s="158"/>
      <c r="F1" s="158"/>
      <c r="G1" s="158"/>
      <c r="H1" s="159"/>
    </row>
    <row r="2" spans="1:8" ht="15" thickBot="1" x14ac:dyDescent="0.4">
      <c r="A2" s="1"/>
      <c r="B2" s="2" t="s">
        <v>0</v>
      </c>
      <c r="C2" s="2" t="s">
        <v>1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2</v>
      </c>
    </row>
    <row r="3" spans="1:8" ht="15" thickBot="1" x14ac:dyDescent="0.4">
      <c r="A3" s="4" t="s">
        <v>7</v>
      </c>
      <c r="B3" s="60">
        <v>56000</v>
      </c>
      <c r="C3" s="60">
        <v>28600</v>
      </c>
      <c r="D3" s="60">
        <v>76000</v>
      </c>
      <c r="E3" s="60">
        <v>86000</v>
      </c>
      <c r="F3" s="60">
        <v>75000</v>
      </c>
      <c r="G3" s="60">
        <v>52000</v>
      </c>
      <c r="H3" s="61">
        <v>23400</v>
      </c>
    </row>
    <row r="4" spans="1:8" x14ac:dyDescent="0.35">
      <c r="A4" s="5" t="s">
        <v>8</v>
      </c>
      <c r="B4" s="62"/>
      <c r="C4" s="62"/>
      <c r="D4" s="62"/>
      <c r="E4" s="62"/>
      <c r="F4" s="62"/>
      <c r="G4" s="62"/>
      <c r="H4" s="63"/>
    </row>
    <row r="5" spans="1:8" x14ac:dyDescent="0.35">
      <c r="A5" s="6" t="s">
        <v>0</v>
      </c>
      <c r="B5" s="64">
        <v>-57776.659959758552</v>
      </c>
      <c r="C5" s="64">
        <f>-0.12*B5</f>
        <v>6933.1991951710261</v>
      </c>
      <c r="D5" s="64">
        <f>-0.38*B5</f>
        <v>21955.13078470825</v>
      </c>
      <c r="E5" s="64"/>
      <c r="F5" s="64"/>
      <c r="G5" s="64">
        <f>-0.5*B5</f>
        <v>28888.329979879276</v>
      </c>
      <c r="H5" s="64"/>
    </row>
    <row r="6" spans="1:8" ht="15" thickBot="1" x14ac:dyDescent="0.4">
      <c r="A6" s="7" t="s">
        <v>9</v>
      </c>
      <c r="B6" s="8">
        <f>-0.05*C6</f>
        <v>1776.6599597585512</v>
      </c>
      <c r="C6" s="8">
        <v>-35533.199195171022</v>
      </c>
      <c r="D6" s="8">
        <f>-0.95*$C$6/4</f>
        <v>8439.1348088531176</v>
      </c>
      <c r="E6" s="8">
        <f t="shared" ref="E6:G6" si="0">-0.95*$C$6/4</f>
        <v>8439.1348088531176</v>
      </c>
      <c r="F6" s="8">
        <f t="shared" si="0"/>
        <v>8439.1348088531176</v>
      </c>
      <c r="G6" s="8">
        <f t="shared" si="0"/>
        <v>8439.1348088531176</v>
      </c>
      <c r="H6" s="65"/>
    </row>
    <row r="7" spans="1:8" ht="15" thickBot="1" x14ac:dyDescent="0.4">
      <c r="A7" s="9" t="s">
        <v>10</v>
      </c>
      <c r="B7" s="66">
        <f>B3+B6+B5</f>
        <v>0</v>
      </c>
      <c r="C7" s="66">
        <f t="shared" ref="C7:H7" si="1">C3+C6+C5</f>
        <v>0</v>
      </c>
      <c r="D7" s="66">
        <f t="shared" si="1"/>
        <v>106394.26559356137</v>
      </c>
      <c r="E7" s="66">
        <f t="shared" si="1"/>
        <v>94439.134808853123</v>
      </c>
      <c r="F7" s="66">
        <f t="shared" si="1"/>
        <v>83439.134808853123</v>
      </c>
      <c r="G7" s="66">
        <f t="shared" si="1"/>
        <v>89327.464788732395</v>
      </c>
      <c r="H7" s="66">
        <f t="shared" si="1"/>
        <v>23400</v>
      </c>
    </row>
    <row r="8" spans="1:8" ht="15" thickBot="1" x14ac:dyDescent="0.4">
      <c r="A8" s="10"/>
      <c r="B8" s="67"/>
      <c r="C8" s="67"/>
      <c r="D8" s="67"/>
      <c r="E8" s="67"/>
      <c r="F8" s="67"/>
      <c r="G8" s="67"/>
      <c r="H8" s="68"/>
    </row>
    <row r="9" spans="1:8" ht="29" x14ac:dyDescent="0.35">
      <c r="A9" s="5" t="s">
        <v>11</v>
      </c>
      <c r="B9" s="62"/>
      <c r="C9" s="69"/>
      <c r="D9" s="69" t="s">
        <v>14</v>
      </c>
      <c r="E9" s="69" t="s">
        <v>15</v>
      </c>
      <c r="F9" s="69" t="s">
        <v>16</v>
      </c>
      <c r="G9" s="137" t="s">
        <v>53</v>
      </c>
      <c r="H9" s="99" t="s">
        <v>18</v>
      </c>
    </row>
    <row r="10" spans="1:8" x14ac:dyDescent="0.35">
      <c r="A10" s="11" t="s">
        <v>12</v>
      </c>
      <c r="B10" s="71"/>
      <c r="C10" s="64"/>
      <c r="D10" s="64">
        <f>48+98+4+6</f>
        <v>156</v>
      </c>
      <c r="E10" s="64">
        <f>3*750+2.5*1400</f>
        <v>5750</v>
      </c>
      <c r="F10" s="64">
        <f>0.3*750+0.3*1400</f>
        <v>645</v>
      </c>
      <c r="G10" s="138">
        <f>750+1400</f>
        <v>2150</v>
      </c>
      <c r="H10" s="72">
        <f>SUM(D7:G7)</f>
        <v>373600.00000000006</v>
      </c>
    </row>
    <row r="11" spans="1:8" ht="15" thickBot="1" x14ac:dyDescent="0.4">
      <c r="A11" s="12" t="s">
        <v>13</v>
      </c>
      <c r="B11" s="73"/>
      <c r="C11" s="74"/>
      <c r="D11" s="84">
        <f>D7/D10</f>
        <v>682.01452303564986</v>
      </c>
      <c r="E11" s="84">
        <f t="shared" ref="E11:H11" si="2">E7/E10</f>
        <v>16.424197358061413</v>
      </c>
      <c r="F11" s="84">
        <f t="shared" si="2"/>
        <v>129.36299970364826</v>
      </c>
      <c r="G11" s="139">
        <f t="shared" si="2"/>
        <v>41.547658041270878</v>
      </c>
      <c r="H11" s="84">
        <f t="shared" si="2"/>
        <v>6.2633832976445383E-2</v>
      </c>
    </row>
    <row r="12" spans="1:8" x14ac:dyDescent="0.35">
      <c r="A12" s="13"/>
      <c r="B12" s="14"/>
      <c r="C12" s="15"/>
      <c r="D12" s="15"/>
      <c r="E12" s="15"/>
      <c r="F12" s="15"/>
      <c r="G12" s="15"/>
      <c r="H12" s="15"/>
    </row>
    <row r="14" spans="1:8" ht="15" thickBot="1" x14ac:dyDescent="0.4">
      <c r="A14" s="18"/>
    </row>
    <row r="15" spans="1:8" ht="19" thickBot="1" x14ac:dyDescent="0.5">
      <c r="A15" s="148" t="s">
        <v>55</v>
      </c>
      <c r="B15" s="149"/>
      <c r="C15" s="149"/>
      <c r="D15" s="149"/>
      <c r="E15" s="149"/>
      <c r="F15" s="149"/>
      <c r="G15" s="150"/>
    </row>
    <row r="16" spans="1:8" x14ac:dyDescent="0.35">
      <c r="A16" s="19"/>
      <c r="B16" s="151" t="s">
        <v>19</v>
      </c>
      <c r="C16" s="152"/>
      <c r="D16" s="153"/>
      <c r="E16" s="152" t="s">
        <v>20</v>
      </c>
      <c r="F16" s="152"/>
      <c r="G16" s="153"/>
    </row>
    <row r="17" spans="1:8" ht="15" thickBot="1" x14ac:dyDescent="0.4">
      <c r="A17" s="20"/>
      <c r="B17" s="21" t="s">
        <v>21</v>
      </c>
      <c r="C17" s="22" t="s">
        <v>22</v>
      </c>
      <c r="D17" s="23" t="s">
        <v>23</v>
      </c>
      <c r="E17" s="21" t="s">
        <v>21</v>
      </c>
      <c r="F17" s="22" t="s">
        <v>22</v>
      </c>
      <c r="G17" s="23" t="s">
        <v>23</v>
      </c>
    </row>
    <row r="18" spans="1:8" x14ac:dyDescent="0.35">
      <c r="A18" s="24" t="s">
        <v>24</v>
      </c>
      <c r="B18" s="25"/>
      <c r="C18" s="26"/>
      <c r="D18" s="27"/>
      <c r="E18" s="41"/>
      <c r="F18" s="26"/>
      <c r="G18" s="27"/>
    </row>
    <row r="19" spans="1:8" x14ac:dyDescent="0.35">
      <c r="A19" s="28" t="s">
        <v>25</v>
      </c>
      <c r="B19" s="29">
        <f>3*750</f>
        <v>2250</v>
      </c>
      <c r="C19" s="30">
        <v>230</v>
      </c>
      <c r="D19" s="31">
        <f>C19*B19</f>
        <v>517500</v>
      </c>
      <c r="E19" s="46"/>
      <c r="F19" s="30"/>
      <c r="G19" s="31"/>
    </row>
    <row r="20" spans="1:8" x14ac:dyDescent="0.35">
      <c r="A20" s="28" t="s">
        <v>26</v>
      </c>
      <c r="B20" s="29"/>
      <c r="C20" s="30"/>
      <c r="D20" s="31"/>
      <c r="E20" s="46">
        <f>2.5*1400</f>
        <v>3500</v>
      </c>
      <c r="F20" s="30">
        <v>210</v>
      </c>
      <c r="G20" s="31">
        <f>F20*E20</f>
        <v>735000</v>
      </c>
    </row>
    <row r="21" spans="1:8" x14ac:dyDescent="0.35">
      <c r="A21" s="28" t="s">
        <v>27</v>
      </c>
      <c r="B21" s="29">
        <f>1*750</f>
        <v>750</v>
      </c>
      <c r="C21" s="30">
        <v>20</v>
      </c>
      <c r="D21" s="31">
        <f>C21*B21</f>
        <v>15000</v>
      </c>
      <c r="E21" s="46"/>
      <c r="F21" s="30"/>
      <c r="G21" s="31"/>
    </row>
    <row r="22" spans="1:8" x14ac:dyDescent="0.35">
      <c r="A22" s="32" t="s">
        <v>28</v>
      </c>
      <c r="B22" s="33"/>
      <c r="C22" s="34"/>
      <c r="D22" s="31"/>
      <c r="E22" s="49">
        <f>0.9*1400</f>
        <v>1260</v>
      </c>
      <c r="F22" s="34">
        <v>12</v>
      </c>
      <c r="G22" s="31">
        <f>F22*E22</f>
        <v>15120</v>
      </c>
    </row>
    <row r="23" spans="1:8" x14ac:dyDescent="0.35">
      <c r="A23" s="28" t="s">
        <v>29</v>
      </c>
      <c r="B23" s="29">
        <f>8*750</f>
        <v>6000</v>
      </c>
      <c r="C23" s="30">
        <v>25</v>
      </c>
      <c r="D23" s="31">
        <f>C23*B23</f>
        <v>150000</v>
      </c>
      <c r="E23" s="46">
        <f>6*1400</f>
        <v>8400</v>
      </c>
      <c r="F23" s="30">
        <v>25</v>
      </c>
      <c r="G23" s="31">
        <f>F23*E23</f>
        <v>210000</v>
      </c>
    </row>
    <row r="24" spans="1:8" x14ac:dyDescent="0.35">
      <c r="A24" s="28" t="s">
        <v>30</v>
      </c>
      <c r="B24" s="29"/>
      <c r="C24" s="30"/>
      <c r="D24" s="31">
        <v>33500</v>
      </c>
      <c r="E24" s="46"/>
      <c r="F24" s="30"/>
      <c r="G24" s="17"/>
    </row>
    <row r="25" spans="1:8" x14ac:dyDescent="0.35">
      <c r="A25" s="28" t="s">
        <v>31</v>
      </c>
      <c r="B25" s="29"/>
      <c r="C25" s="30"/>
      <c r="D25" s="31"/>
      <c r="E25" s="46"/>
      <c r="F25" s="30"/>
      <c r="G25" s="31">
        <v>80000</v>
      </c>
    </row>
    <row r="26" spans="1:8" ht="15" thickBot="1" x14ac:dyDescent="0.4">
      <c r="A26" s="75" t="s">
        <v>32</v>
      </c>
      <c r="B26" s="47">
        <f>750*1200</f>
        <v>900000</v>
      </c>
      <c r="C26" s="76">
        <v>0.05</v>
      </c>
      <c r="D26" s="48">
        <f>C26*B26</f>
        <v>45000</v>
      </c>
      <c r="E26" s="79">
        <f>1000*1400</f>
        <v>1400000</v>
      </c>
      <c r="F26" s="76">
        <v>0.05</v>
      </c>
      <c r="G26" s="48">
        <f>F26*E26</f>
        <v>70000</v>
      </c>
    </row>
    <row r="27" spans="1:8" ht="15" thickBot="1" x14ac:dyDescent="0.4">
      <c r="A27" s="16" t="s">
        <v>33</v>
      </c>
      <c r="B27" s="36">
        <f>750</f>
        <v>750</v>
      </c>
      <c r="C27" s="37">
        <f>D27/B27</f>
        <v>1014.6666666666666</v>
      </c>
      <c r="D27" s="38">
        <f>SUM(D18:D26)</f>
        <v>761000</v>
      </c>
      <c r="E27" s="80">
        <v>1400</v>
      </c>
      <c r="F27" s="37">
        <f>G27/E27</f>
        <v>792.94285714285718</v>
      </c>
      <c r="G27" s="38">
        <f>SUM(G18:G26)</f>
        <v>1110120</v>
      </c>
      <c r="H27" s="83"/>
    </row>
    <row r="28" spans="1:8" x14ac:dyDescent="0.35">
      <c r="A28" s="24" t="s">
        <v>34</v>
      </c>
      <c r="B28" s="39"/>
      <c r="C28" s="40"/>
      <c r="D28" s="27"/>
      <c r="E28" s="41"/>
      <c r="F28" s="26"/>
      <c r="G28" s="27"/>
    </row>
    <row r="29" spans="1:8" x14ac:dyDescent="0.35">
      <c r="A29" s="45" t="s">
        <v>3</v>
      </c>
      <c r="B29" s="29">
        <f>52</f>
        <v>52</v>
      </c>
      <c r="C29" s="118">
        <f>D11</f>
        <v>682.01452303564986</v>
      </c>
      <c r="D29" s="31">
        <f>C29*B29</f>
        <v>35464.755197853796</v>
      </c>
      <c r="E29" s="46">
        <v>104</v>
      </c>
      <c r="F29" s="118">
        <f>C29</f>
        <v>682.01452303564986</v>
      </c>
      <c r="G29" s="31">
        <f>F29*E29</f>
        <v>70929.510395707592</v>
      </c>
    </row>
    <row r="30" spans="1:8" x14ac:dyDescent="0.35">
      <c r="A30" s="45" t="s">
        <v>4</v>
      </c>
      <c r="B30" s="29">
        <f>3*750</f>
        <v>2250</v>
      </c>
      <c r="C30" s="119">
        <f>E11</f>
        <v>16.424197358061413</v>
      </c>
      <c r="D30" s="31">
        <f t="shared" ref="D30:D33" si="3">C30*B30</f>
        <v>36954.444055638181</v>
      </c>
      <c r="E30" s="46">
        <f>2.5*1400</f>
        <v>3500</v>
      </c>
      <c r="F30" s="118">
        <f t="shared" ref="F30:F32" si="4">C30</f>
        <v>16.424197358061413</v>
      </c>
      <c r="G30" s="31">
        <f t="shared" ref="G30:G33" si="5">F30*E30</f>
        <v>57484.690753214942</v>
      </c>
    </row>
    <row r="31" spans="1:8" x14ac:dyDescent="0.35">
      <c r="A31" s="45" t="s">
        <v>36</v>
      </c>
      <c r="B31" s="29">
        <f>0.3*750</f>
        <v>225</v>
      </c>
      <c r="C31" s="118">
        <f>F11</f>
        <v>129.36299970364826</v>
      </c>
      <c r="D31" s="31">
        <f t="shared" si="3"/>
        <v>29106.674933320857</v>
      </c>
      <c r="E31" s="46">
        <f>0.3*1400</f>
        <v>420</v>
      </c>
      <c r="F31" s="118">
        <f t="shared" si="4"/>
        <v>129.36299970364826</v>
      </c>
      <c r="G31" s="31">
        <f t="shared" si="5"/>
        <v>54332.459875532266</v>
      </c>
    </row>
    <row r="32" spans="1:8" x14ac:dyDescent="0.35">
      <c r="A32" s="131" t="s">
        <v>35</v>
      </c>
      <c r="B32" s="132">
        <v>750</v>
      </c>
      <c r="C32" s="96">
        <f>G11</f>
        <v>41.547658041270878</v>
      </c>
      <c r="D32" s="133">
        <f t="shared" si="3"/>
        <v>31160.743530953157</v>
      </c>
      <c r="E32" s="134">
        <v>1400</v>
      </c>
      <c r="F32" s="96">
        <f t="shared" si="4"/>
        <v>41.547658041270878</v>
      </c>
      <c r="G32" s="133">
        <f t="shared" si="5"/>
        <v>58166.721257779231</v>
      </c>
    </row>
    <row r="33" spans="1:8" x14ac:dyDescent="0.35">
      <c r="A33" s="28" t="s">
        <v>37</v>
      </c>
      <c r="B33" s="29">
        <f>SUM(D29:D32)</f>
        <v>132686.61771776597</v>
      </c>
      <c r="C33" s="42">
        <f>H11</f>
        <v>6.2633832976445383E-2</v>
      </c>
      <c r="D33" s="31">
        <f t="shared" si="3"/>
        <v>8310.6714523440132</v>
      </c>
      <c r="E33" s="29">
        <f>SUM(G29:G32)</f>
        <v>240913.38228223403</v>
      </c>
      <c r="F33" s="42">
        <f>H11</f>
        <v>6.2633832976445383E-2</v>
      </c>
      <c r="G33" s="31">
        <f t="shared" si="5"/>
        <v>15089.328547655983</v>
      </c>
    </row>
    <row r="34" spans="1:8" ht="15" thickBot="1" x14ac:dyDescent="0.4">
      <c r="A34" s="78"/>
      <c r="B34" s="47"/>
      <c r="C34" s="77"/>
      <c r="D34" s="48"/>
      <c r="E34" s="79"/>
      <c r="F34" s="77"/>
      <c r="G34" s="48"/>
    </row>
    <row r="35" spans="1:8" ht="15" thickBot="1" x14ac:dyDescent="0.4">
      <c r="A35" s="50" t="s">
        <v>38</v>
      </c>
      <c r="B35" s="51"/>
      <c r="C35" s="52"/>
      <c r="D35" s="44">
        <f>SUM(D29:D33)</f>
        <v>140997.28917010999</v>
      </c>
      <c r="E35" s="81"/>
      <c r="F35" s="52"/>
      <c r="G35" s="44">
        <f>SUM(G29:G33)</f>
        <v>256002.71082989001</v>
      </c>
      <c r="H35" s="83"/>
    </row>
    <row r="36" spans="1:8" ht="15" thickBot="1" x14ac:dyDescent="0.4">
      <c r="A36" s="35" t="s">
        <v>39</v>
      </c>
      <c r="B36" s="36">
        <f>B27</f>
        <v>750</v>
      </c>
      <c r="C36" s="37">
        <f>D36/B36</f>
        <v>1202.6630522268133</v>
      </c>
      <c r="D36" s="38">
        <f>D35+D27</f>
        <v>901997.28917011002</v>
      </c>
      <c r="E36" s="36">
        <f>E27</f>
        <v>1400</v>
      </c>
      <c r="F36" s="37">
        <f>G36/E36</f>
        <v>975.80193630706435</v>
      </c>
      <c r="G36" s="38">
        <f>G35+G27</f>
        <v>1366122.7108298901</v>
      </c>
      <c r="H36" s="83"/>
    </row>
    <row r="37" spans="1:8" x14ac:dyDescent="0.35">
      <c r="A37" s="53" t="s">
        <v>17</v>
      </c>
      <c r="B37" s="54">
        <f>B36</f>
        <v>750</v>
      </c>
      <c r="C37" s="55">
        <v>1200</v>
      </c>
      <c r="D37" s="56">
        <f>C37*B37</f>
        <v>900000</v>
      </c>
      <c r="E37" s="54">
        <f>E36</f>
        <v>1400</v>
      </c>
      <c r="F37" s="55">
        <v>1000</v>
      </c>
      <c r="G37" s="56">
        <f>F37*E37</f>
        <v>1400000</v>
      </c>
      <c r="H37" s="83"/>
    </row>
    <row r="38" spans="1:8" ht="15" thickBot="1" x14ac:dyDescent="0.4">
      <c r="A38" s="57" t="s">
        <v>40</v>
      </c>
      <c r="B38" s="58">
        <f>B37</f>
        <v>750</v>
      </c>
      <c r="C38" s="59">
        <f>C37-C36</f>
        <v>-2.6630522268133063</v>
      </c>
      <c r="D38" s="59">
        <f>D37-D36</f>
        <v>-1997.2891701100161</v>
      </c>
      <c r="E38" s="58">
        <f>E37</f>
        <v>1400</v>
      </c>
      <c r="F38" s="59">
        <f>F37-F36</f>
        <v>24.198063692935648</v>
      </c>
      <c r="G38" s="59">
        <f>G37-G36</f>
        <v>33877.2891701099</v>
      </c>
      <c r="H38" s="83">
        <f t="shared" ref="H38" si="6">G38+D38</f>
        <v>31879.999999999884</v>
      </c>
    </row>
  </sheetData>
  <mergeCells count="4">
    <mergeCell ref="A1:H1"/>
    <mergeCell ref="A15:G15"/>
    <mergeCell ref="B16:D16"/>
    <mergeCell ref="E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1 et 2</vt:lpstr>
      <vt:lpstr>1bis e 2 bis</vt:lpstr>
      <vt:lpstr>1ter et 2 ter</vt:lpstr>
      <vt:lpstr>1 quatro 2 quatro</vt:lpstr>
      <vt:lpstr>1 quinques 2 quinques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n.a.</cp:lastModifiedBy>
  <dcterms:created xsi:type="dcterms:W3CDTF">2016-09-26T11:59:31Z</dcterms:created>
  <dcterms:modified xsi:type="dcterms:W3CDTF">2024-01-15T14:13:29Z</dcterms:modified>
</cp:coreProperties>
</file>