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illaume Dumas\Downloads\"/>
    </mc:Choice>
  </mc:AlternateContent>
  <xr:revisionPtr revIDLastSave="0" documentId="13_ncr:1_{08E58029-E67C-4344-822D-1D46419F1040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Partie 1" sheetId="1" r:id="rId1"/>
    <sheet name="Partie 2" sheetId="2" r:id="rId2"/>
    <sheet name="Parti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K16" i="2"/>
  <c r="D16" i="2"/>
  <c r="D4" i="2"/>
  <c r="D6" i="2" s="1"/>
  <c r="C4" i="2"/>
  <c r="C6" i="2" s="1"/>
  <c r="B4" i="2"/>
  <c r="B6" i="2" s="1"/>
  <c r="K40" i="2" l="1"/>
  <c r="C6" i="3"/>
  <c r="B6" i="3"/>
  <c r="D6" i="3"/>
  <c r="K19" i="3"/>
  <c r="K18" i="3"/>
  <c r="K17" i="3"/>
  <c r="K16" i="3"/>
  <c r="N4" i="3"/>
  <c r="M4" i="3"/>
  <c r="N4" i="2"/>
  <c r="M4" i="2"/>
  <c r="D5" i="3"/>
  <c r="C5" i="3"/>
  <c r="B5" i="3"/>
  <c r="K20" i="2"/>
  <c r="K19" i="2"/>
  <c r="K18" i="2"/>
  <c r="K17" i="2"/>
  <c r="K38" i="3"/>
  <c r="K40" i="3"/>
  <c r="K42" i="2"/>
  <c r="J23" i="1" l="1"/>
  <c r="J24" i="1"/>
  <c r="E11" i="3" l="1"/>
  <c r="H46" i="3"/>
  <c r="E46" i="3"/>
  <c r="B46" i="3"/>
  <c r="J45" i="3"/>
  <c r="G45" i="3"/>
  <c r="D45" i="3"/>
  <c r="H43" i="3"/>
  <c r="E43" i="3"/>
  <c r="B43" i="3"/>
  <c r="H29" i="3"/>
  <c r="H34" i="3" s="1"/>
  <c r="E29" i="3"/>
  <c r="E35" i="3" s="1"/>
  <c r="B29" i="3"/>
  <c r="B35" i="3" s="1"/>
  <c r="H26" i="3"/>
  <c r="J26" i="3" s="1"/>
  <c r="E26" i="3"/>
  <c r="G26" i="3" s="1"/>
  <c r="B26" i="3"/>
  <c r="D26" i="3" s="1"/>
  <c r="K20" i="3"/>
  <c r="F14" i="3"/>
  <c r="C14" i="3" s="1"/>
  <c r="F13" i="3"/>
  <c r="C13" i="3" s="1"/>
  <c r="C12" i="3"/>
  <c r="F12" i="3" s="1"/>
  <c r="C11" i="3"/>
  <c r="F11" i="3" s="1"/>
  <c r="H48" i="2"/>
  <c r="J47" i="2"/>
  <c r="E48" i="2"/>
  <c r="G47" i="2"/>
  <c r="B48" i="2"/>
  <c r="D47" i="2"/>
  <c r="B45" i="2"/>
  <c r="E45" i="2"/>
  <c r="H45" i="2"/>
  <c r="H31" i="2"/>
  <c r="H37" i="2" s="1"/>
  <c r="E31" i="2"/>
  <c r="B31" i="2"/>
  <c r="B37" i="2" s="1"/>
  <c r="H28" i="2"/>
  <c r="J28" i="2" s="1"/>
  <c r="E28" i="2"/>
  <c r="G28" i="2" s="1"/>
  <c r="B28" i="2"/>
  <c r="D28" i="2" s="1"/>
  <c r="F14" i="2"/>
  <c r="C14" i="2" s="1"/>
  <c r="F13" i="2"/>
  <c r="C13" i="2" s="1"/>
  <c r="F12" i="2"/>
  <c r="C11" i="2"/>
  <c r="F11" i="2" s="1"/>
  <c r="H22" i="2"/>
  <c r="H29" i="2" s="1"/>
  <c r="B14" i="2"/>
  <c r="J26" i="1"/>
  <c r="J25" i="1"/>
  <c r="J22" i="1"/>
  <c r="J10" i="1"/>
  <c r="D6" i="1"/>
  <c r="H15" i="1" s="1"/>
  <c r="J15" i="1" s="1"/>
  <c r="D35" i="3" l="1"/>
  <c r="H12" i="1"/>
  <c r="J12" i="1" s="1"/>
  <c r="H13" i="1"/>
  <c r="J13" i="1" s="1"/>
  <c r="D37" i="2"/>
  <c r="D43" i="2"/>
  <c r="D41" i="2"/>
  <c r="H14" i="1"/>
  <c r="J14" i="1" s="1"/>
  <c r="E37" i="2"/>
  <c r="B34" i="3"/>
  <c r="E13" i="2"/>
  <c r="G13" i="2" s="1"/>
  <c r="E11" i="2"/>
  <c r="G11" i="2" s="1"/>
  <c r="J40" i="2"/>
  <c r="J43" i="2"/>
  <c r="J41" i="2"/>
  <c r="J42" i="2"/>
  <c r="B36" i="2"/>
  <c r="H35" i="3"/>
  <c r="E36" i="2"/>
  <c r="B11" i="2"/>
  <c r="D11" i="2" s="1"/>
  <c r="J37" i="2"/>
  <c r="H36" i="2"/>
  <c r="B22" i="3"/>
  <c r="B27" i="3" s="1"/>
  <c r="B28" i="3" s="1"/>
  <c r="B30" i="3" s="1"/>
  <c r="B14" i="3"/>
  <c r="B13" i="3"/>
  <c r="B12" i="3"/>
  <c r="D12" i="3" s="1"/>
  <c r="B11" i="3"/>
  <c r="D11" i="3" s="1"/>
  <c r="E14" i="3"/>
  <c r="E12" i="3"/>
  <c r="G12" i="3" s="1"/>
  <c r="E13" i="3"/>
  <c r="E22" i="3"/>
  <c r="E27" i="3" s="1"/>
  <c r="E28" i="3" s="1"/>
  <c r="E30" i="3" s="1"/>
  <c r="G35" i="3"/>
  <c r="G11" i="3"/>
  <c r="H22" i="3"/>
  <c r="H27" i="3" s="1"/>
  <c r="H28" i="3" s="1"/>
  <c r="H30" i="3" s="1"/>
  <c r="H14" i="3"/>
  <c r="H13" i="3"/>
  <c r="H12" i="3"/>
  <c r="J12" i="3" s="1"/>
  <c r="H11" i="3"/>
  <c r="J11" i="3" s="1"/>
  <c r="E34" i="3"/>
  <c r="H30" i="2"/>
  <c r="H32" i="2" s="1"/>
  <c r="B22" i="2"/>
  <c r="B29" i="2" s="1"/>
  <c r="B30" i="2" s="1"/>
  <c r="B32" i="2" s="1"/>
  <c r="D14" i="2"/>
  <c r="B13" i="2"/>
  <c r="B12" i="2"/>
  <c r="D12" i="2" s="1"/>
  <c r="E12" i="2"/>
  <c r="G12" i="2" s="1"/>
  <c r="E14" i="2"/>
  <c r="G14" i="2" s="1"/>
  <c r="E22" i="2"/>
  <c r="E29" i="2" s="1"/>
  <c r="E30" i="2" s="1"/>
  <c r="E32" i="2" s="1"/>
  <c r="H11" i="2"/>
  <c r="J11" i="2" s="1"/>
  <c r="H12" i="2"/>
  <c r="J12" i="2" s="1"/>
  <c r="H14" i="2"/>
  <c r="H13" i="2"/>
  <c r="M5" i="3" l="1"/>
  <c r="M6" i="3" s="1"/>
  <c r="N5" i="3"/>
  <c r="N6" i="3" s="1"/>
  <c r="M5" i="2"/>
  <c r="M6" i="2" s="1"/>
  <c r="N5" i="2"/>
  <c r="N6" i="2" s="1"/>
  <c r="J18" i="2"/>
  <c r="J39" i="3"/>
  <c r="J40" i="3"/>
  <c r="J41" i="3"/>
  <c r="J35" i="3"/>
  <c r="G40" i="3"/>
  <c r="D41" i="3"/>
  <c r="G39" i="3"/>
  <c r="D39" i="3"/>
  <c r="G41" i="3"/>
  <c r="G38" i="3"/>
  <c r="J38" i="3"/>
  <c r="G42" i="2"/>
  <c r="G40" i="2"/>
  <c r="G41" i="2"/>
  <c r="G43" i="2"/>
  <c r="G37" i="2"/>
  <c r="D40" i="3"/>
  <c r="D42" i="2"/>
  <c r="D38" i="3"/>
  <c r="D40" i="2"/>
  <c r="D13" i="3"/>
  <c r="J20" i="3"/>
  <c r="G18" i="3"/>
  <c r="D16" i="3"/>
  <c r="D14" i="3"/>
  <c r="J19" i="3"/>
  <c r="D17" i="3"/>
  <c r="G13" i="3"/>
  <c r="D18" i="3"/>
  <c r="D21" i="3"/>
  <c r="D19" i="3"/>
  <c r="J17" i="3"/>
  <c r="J18" i="3"/>
  <c r="J13" i="3"/>
  <c r="J16" i="3"/>
  <c r="G16" i="3"/>
  <c r="D20" i="3"/>
  <c r="G17" i="3"/>
  <c r="G21" i="3"/>
  <c r="G19" i="3"/>
  <c r="G20" i="3"/>
  <c r="G14" i="3"/>
  <c r="J14" i="3"/>
  <c r="J21" i="3"/>
  <c r="G19" i="2"/>
  <c r="J16" i="2"/>
  <c r="G18" i="2"/>
  <c r="D19" i="2"/>
  <c r="J14" i="2"/>
  <c r="J21" i="2"/>
  <c r="J17" i="2"/>
  <c r="D18" i="2"/>
  <c r="D20" i="2"/>
  <c r="J19" i="2"/>
  <c r="J13" i="2"/>
  <c r="G21" i="2"/>
  <c r="G17" i="2"/>
  <c r="J20" i="2"/>
  <c r="D17" i="2"/>
  <c r="G20" i="2"/>
  <c r="D13" i="2"/>
  <c r="D21" i="2"/>
  <c r="G16" i="2"/>
  <c r="G22" i="3" l="1"/>
  <c r="G27" i="3" s="1"/>
  <c r="G28" i="3" s="1"/>
  <c r="F28" i="3" s="1"/>
  <c r="F29" i="3" s="1"/>
  <c r="J22" i="3"/>
  <c r="I22" i="3" s="1"/>
  <c r="I27" i="3" s="1"/>
  <c r="D22" i="3"/>
  <c r="D27" i="3" s="1"/>
  <c r="D28" i="3" s="1"/>
  <c r="C28" i="3" s="1"/>
  <c r="C29" i="3" s="1"/>
  <c r="J22" i="2"/>
  <c r="I22" i="2" s="1"/>
  <c r="I29" i="2" s="1"/>
  <c r="G22" i="2"/>
  <c r="G29" i="2" s="1"/>
  <c r="G30" i="2" s="1"/>
  <c r="F30" i="2" s="1"/>
  <c r="F31" i="2" s="1"/>
  <c r="F36" i="2" s="1"/>
  <c r="D22" i="2"/>
  <c r="D29" i="2" s="1"/>
  <c r="D30" i="2" s="1"/>
  <c r="C30" i="2" s="1"/>
  <c r="C31" i="2" s="1"/>
  <c r="C36" i="2" s="1"/>
  <c r="C22" i="3" l="1"/>
  <c r="C27" i="3" s="1"/>
  <c r="J27" i="3"/>
  <c r="J28" i="3" s="1"/>
  <c r="I28" i="3" s="1"/>
  <c r="I29" i="3" s="1"/>
  <c r="I34" i="3" s="1"/>
  <c r="F22" i="3"/>
  <c r="F27" i="3" s="1"/>
  <c r="D29" i="3"/>
  <c r="D34" i="3" s="1"/>
  <c r="D43" i="3" s="1"/>
  <c r="C30" i="3"/>
  <c r="D30" i="3" s="1"/>
  <c r="C34" i="3"/>
  <c r="F34" i="3"/>
  <c r="F30" i="3"/>
  <c r="G30" i="3" s="1"/>
  <c r="G29" i="3"/>
  <c r="G34" i="3" s="1"/>
  <c r="G43" i="3" s="1"/>
  <c r="J29" i="2"/>
  <c r="J30" i="2" s="1"/>
  <c r="I30" i="2" s="1"/>
  <c r="I31" i="2" s="1"/>
  <c r="F22" i="2"/>
  <c r="F29" i="2" s="1"/>
  <c r="C22" i="2"/>
  <c r="C29" i="2" s="1"/>
  <c r="G31" i="2"/>
  <c r="G36" i="2" s="1"/>
  <c r="G45" i="2" s="1"/>
  <c r="G48" i="2" s="1"/>
  <c r="F32" i="2"/>
  <c r="G32" i="2" s="1"/>
  <c r="D31" i="2"/>
  <c r="D36" i="2" s="1"/>
  <c r="D45" i="2" s="1"/>
  <c r="C32" i="2"/>
  <c r="D48" i="2" l="1"/>
  <c r="C45" i="2"/>
  <c r="C48" i="2" s="1"/>
  <c r="I32" i="2"/>
  <c r="J32" i="2" s="1"/>
  <c r="I36" i="2"/>
  <c r="J29" i="3"/>
  <c r="J34" i="3" s="1"/>
  <c r="J43" i="3" s="1"/>
  <c r="I43" i="3" s="1"/>
  <c r="I46" i="3" s="1"/>
  <c r="I30" i="3"/>
  <c r="J30" i="3" s="1"/>
  <c r="C43" i="3"/>
  <c r="C46" i="3" s="1"/>
  <c r="D46" i="3"/>
  <c r="F43" i="3"/>
  <c r="F46" i="3" s="1"/>
  <c r="G46" i="3"/>
  <c r="J31" i="2"/>
  <c r="J36" i="2" s="1"/>
  <c r="J45" i="2" s="1"/>
  <c r="J48" i="2" s="1"/>
  <c r="D32" i="2"/>
  <c r="F45" i="2"/>
  <c r="F48" i="2" s="1"/>
  <c r="J46" i="3" l="1"/>
  <c r="I45" i="2" l="1"/>
  <c r="I48" i="2" s="1"/>
  <c r="H16" i="1" l="1"/>
  <c r="J16" i="1"/>
  <c r="J18" i="1" s="1"/>
  <c r="J31" i="1" l="1"/>
  <c r="J19" i="1"/>
  <c r="J33" i="1" s="1"/>
  <c r="J34" i="1" s="1"/>
</calcChain>
</file>

<file path=xl/sharedStrings.xml><?xml version="1.0" encoding="utf-8"?>
<sst xmlns="http://schemas.openxmlformats.org/spreadsheetml/2006/main" count="203" uniqueCount="73">
  <si>
    <t>A</t>
  </si>
  <si>
    <t>B</t>
  </si>
  <si>
    <t>C</t>
  </si>
  <si>
    <t>Ventes</t>
  </si>
  <si>
    <t xml:space="preserve"> + SF</t>
  </si>
  <si>
    <t xml:space="preserve"> - SI</t>
  </si>
  <si>
    <t xml:space="preserve"> = A produire</t>
  </si>
  <si>
    <t>CA</t>
  </si>
  <si>
    <t>Bois</t>
  </si>
  <si>
    <t>Plastique</t>
  </si>
  <si>
    <t>% commission</t>
  </si>
  <si>
    <t>PU</t>
  </si>
  <si>
    <t>Total</t>
  </si>
  <si>
    <t>Bateau A</t>
  </si>
  <si>
    <t>Bateau B</t>
  </si>
  <si>
    <t>Bateau C</t>
  </si>
  <si>
    <t>qté</t>
  </si>
  <si>
    <t xml:space="preserve"> </t>
  </si>
  <si>
    <t>MCV</t>
  </si>
  <si>
    <t>Taux MCV</t>
  </si>
  <si>
    <t>Amt</t>
  </si>
  <si>
    <t>Entretien robot</t>
  </si>
  <si>
    <t>Entretien atelier</t>
  </si>
  <si>
    <t>Salaire fixe admini</t>
  </si>
  <si>
    <t>Salaire fixe cciaux</t>
  </si>
  <si>
    <t>Pub marque</t>
  </si>
  <si>
    <t>Pub spé</t>
  </si>
  <si>
    <t>Résultat</t>
  </si>
  <si>
    <t>Heure Moulage</t>
  </si>
  <si>
    <t>Heure Finition</t>
  </si>
  <si>
    <t xml:space="preserve"> - couts fixes</t>
  </si>
  <si>
    <t>Achat étude, asssurance, EC</t>
  </si>
  <si>
    <t>SR (en €)</t>
  </si>
  <si>
    <t>SR (en bateau)</t>
  </si>
  <si>
    <t xml:space="preserve">Si 16 bateau C vendu </t>
  </si>
  <si>
    <t>CF / bateau</t>
  </si>
  <si>
    <t>Si 20 bateau C vendu</t>
  </si>
  <si>
    <t xml:space="preserve"> - CV</t>
  </si>
  <si>
    <t>CD</t>
  </si>
  <si>
    <t>CI</t>
  </si>
  <si>
    <t>Tableau de variation de stock de PF</t>
  </si>
  <si>
    <t>Cout de production</t>
  </si>
  <si>
    <t>Amt moulage</t>
  </si>
  <si>
    <t>Amt Finition</t>
  </si>
  <si>
    <t>Entretien robot moulage</t>
  </si>
  <si>
    <t>Entretien robot finition</t>
  </si>
  <si>
    <t>Entretien atlier moulage</t>
  </si>
  <si>
    <t>Entretien atelier  finition</t>
  </si>
  <si>
    <t>SI</t>
  </si>
  <si>
    <t>Cout de pro</t>
  </si>
  <si>
    <t>CUMP</t>
  </si>
  <si>
    <t>Sortie pour vente</t>
  </si>
  <si>
    <t>SF</t>
  </si>
  <si>
    <t>% de commission</t>
  </si>
  <si>
    <t>Publicité spécifique</t>
  </si>
  <si>
    <t>Salaire administration</t>
  </si>
  <si>
    <t>Salaire fixe commerciaux</t>
  </si>
  <si>
    <t>Achat étude, assurance et EC</t>
  </si>
  <si>
    <t>Cout complet</t>
  </si>
  <si>
    <t xml:space="preserve">La répartition des couts fixes unitaires (ie. Économie d'échelle) fait passer le cout de production unitaire du bateau a (par ex) de </t>
  </si>
  <si>
    <t>2707 € lorsqu'on en produit 17 (cf. onglet partie 2) à 2051 lorsqu'on en produit 50 (cf. onglet partie 3).</t>
  </si>
  <si>
    <t>Programme de production</t>
  </si>
  <si>
    <t>A compléter avec données</t>
  </si>
  <si>
    <t>A choisir avec feuille décision</t>
  </si>
  <si>
    <t>Choix à faire</t>
  </si>
  <si>
    <t xml:space="preserve"> + SF souhaité</t>
  </si>
  <si>
    <t>Nb de machines</t>
  </si>
  <si>
    <t>Moulages</t>
  </si>
  <si>
    <t>Finition</t>
  </si>
  <si>
    <t>Tps machine dispo</t>
  </si>
  <si>
    <t>Tps consommé</t>
  </si>
  <si>
    <t>Différence</t>
  </si>
  <si>
    <t>A estimer avec prévision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</si>
</sst>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2" borderId="1" xfId="0" applyFill="1" applyBorder="1"/>
    <xf numFmtId="9" fontId="0" fillId="0" borderId="1" xfId="0" applyNumberFormat="1" applyBorder="1"/>
    <xf numFmtId="165" fontId="0" fillId="0" borderId="1" xfId="1" applyNumberFormat="1" applyFont="1" applyBorder="1"/>
    <xf numFmtId="0" fontId="0" fillId="0" borderId="2" xfId="0" applyBorder="1"/>
    <xf numFmtId="165" fontId="0" fillId="0" borderId="2" xfId="1" applyNumberFormat="1" applyFont="1" applyBorder="1"/>
    <xf numFmtId="165" fontId="0" fillId="0" borderId="1" xfId="0" applyNumberFormat="1" applyBorder="1"/>
    <xf numFmtId="1" fontId="0" fillId="0" borderId="1" xfId="0" applyNumberFormat="1" applyBorder="1"/>
    <xf numFmtId="165" fontId="0" fillId="0" borderId="1" xfId="1" applyNumberFormat="1" applyFont="1" applyBorder="1" applyAlignment="1">
      <alignment horizontal="left"/>
    </xf>
    <xf numFmtId="165" fontId="0" fillId="0" borderId="1" xfId="1" applyNumberFormat="1" applyFont="1" applyFill="1" applyBorder="1"/>
    <xf numFmtId="165" fontId="0" fillId="0" borderId="0" xfId="0" applyNumberFormat="1"/>
    <xf numFmtId="0" fontId="0" fillId="3" borderId="1" xfId="0" applyFill="1" applyBorder="1"/>
    <xf numFmtId="0" fontId="0" fillId="4" borderId="0" xfId="0" applyFill="1"/>
    <xf numFmtId="0" fontId="0" fillId="5" borderId="0" xfId="0" applyFill="1"/>
    <xf numFmtId="0" fontId="0" fillId="6" borderId="1" xfId="0" applyFill="1" applyBorder="1"/>
    <xf numFmtId="0" fontId="0" fillId="5" borderId="1" xfId="0" applyFill="1" applyBorder="1"/>
    <xf numFmtId="165" fontId="0" fillId="5" borderId="1" xfId="1" applyNumberFormat="1" applyFont="1" applyFill="1" applyBorder="1" applyAlignment="1">
      <alignment horizontal="left"/>
    </xf>
    <xf numFmtId="165" fontId="0" fillId="5" borderId="1" xfId="1" applyNumberFormat="1" applyFont="1" applyFill="1" applyBorder="1"/>
    <xf numFmtId="9" fontId="0" fillId="6" borderId="1" xfId="0" applyNumberFormat="1" applyFill="1" applyBorder="1"/>
    <xf numFmtId="0" fontId="0" fillId="7" borderId="0" xfId="0" applyFill="1"/>
    <xf numFmtId="9" fontId="0" fillId="7" borderId="1" xfId="0" applyNumberFormat="1" applyFill="1" applyBorder="1"/>
    <xf numFmtId="0" fontId="0" fillId="7" borderId="1" xfId="0" applyFill="1" applyBorder="1"/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/>
    <xf numFmtId="0" fontId="0" fillId="8" borderId="1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J38"/>
  <sheetViews>
    <sheetView topLeftCell="A25" zoomScale="142" workbookViewId="0">
      <selection activeCell="K30" sqref="K30"/>
    </sheetView>
  </sheetViews>
  <sheetFormatPr baseColWidth="10" defaultRowHeight="14.5" x14ac:dyDescent="0.35"/>
  <cols>
    <col min="2" max="2" width="3.54296875" bestFit="1" customWidth="1"/>
    <col min="3" max="3" width="3.08984375" bestFit="1" customWidth="1"/>
    <col min="4" max="4" width="5" bestFit="1" customWidth="1"/>
    <col min="5" max="5" width="3.54296875" bestFit="1" customWidth="1"/>
    <col min="6" max="6" width="3.08984375" bestFit="1" customWidth="1"/>
    <col min="7" max="7" width="5.81640625" bestFit="1" customWidth="1"/>
    <col min="8" max="8" width="6.81640625" bestFit="1" customWidth="1"/>
    <col min="9" max="9" width="5.81640625" bestFit="1" customWidth="1"/>
    <col min="10" max="10" width="6.81640625" bestFit="1" customWidth="1"/>
  </cols>
  <sheetData>
    <row r="2" spans="1:10" x14ac:dyDescent="0.35">
      <c r="A2" s="1"/>
      <c r="B2" s="1" t="s">
        <v>0</v>
      </c>
      <c r="C2" s="1" t="s">
        <v>1</v>
      </c>
      <c r="D2" s="1" t="s">
        <v>2</v>
      </c>
    </row>
    <row r="3" spans="1:10" x14ac:dyDescent="0.35">
      <c r="A3" s="1" t="s">
        <v>3</v>
      </c>
      <c r="B3" s="3"/>
      <c r="C3" s="3"/>
      <c r="D3" s="2">
        <v>16</v>
      </c>
    </row>
    <row r="4" spans="1:10" x14ac:dyDescent="0.35">
      <c r="A4" s="1" t="s">
        <v>4</v>
      </c>
      <c r="B4" s="3"/>
      <c r="C4" s="3"/>
      <c r="D4" s="2">
        <v>16</v>
      </c>
    </row>
    <row r="5" spans="1:10" x14ac:dyDescent="0.35">
      <c r="A5" s="1" t="s">
        <v>5</v>
      </c>
      <c r="B5" s="3"/>
      <c r="C5" s="3"/>
      <c r="D5" s="2">
        <v>16</v>
      </c>
    </row>
    <row r="6" spans="1:10" x14ac:dyDescent="0.35">
      <c r="A6" s="1" t="s">
        <v>6</v>
      </c>
      <c r="B6" s="3"/>
      <c r="C6" s="3"/>
      <c r="D6" s="2">
        <f>D3+D4-D5</f>
        <v>16</v>
      </c>
    </row>
    <row r="8" spans="1:10" x14ac:dyDescent="0.35">
      <c r="A8" s="2"/>
      <c r="B8" s="24" t="s">
        <v>13</v>
      </c>
      <c r="C8" s="24"/>
      <c r="D8" s="24"/>
      <c r="E8" s="24" t="s">
        <v>14</v>
      </c>
      <c r="F8" s="24"/>
      <c r="G8" s="24"/>
      <c r="H8" s="24" t="s">
        <v>15</v>
      </c>
      <c r="I8" s="24"/>
      <c r="J8" s="24"/>
    </row>
    <row r="9" spans="1:10" x14ac:dyDescent="0.35">
      <c r="A9" s="2"/>
      <c r="B9" s="2" t="s">
        <v>16</v>
      </c>
      <c r="C9" s="2" t="s">
        <v>11</v>
      </c>
      <c r="D9" s="2" t="s">
        <v>12</v>
      </c>
      <c r="E9" s="2" t="s">
        <v>16</v>
      </c>
      <c r="F9" s="2" t="s">
        <v>11</v>
      </c>
      <c r="G9" s="2" t="s">
        <v>12</v>
      </c>
      <c r="H9" s="2" t="s">
        <v>16</v>
      </c>
      <c r="I9" s="2" t="s">
        <v>11</v>
      </c>
      <c r="J9" s="2" t="s">
        <v>12</v>
      </c>
    </row>
    <row r="10" spans="1:10" x14ac:dyDescent="0.35">
      <c r="A10" s="2" t="s">
        <v>7</v>
      </c>
      <c r="B10" s="2"/>
      <c r="C10" s="2"/>
      <c r="D10" s="2"/>
      <c r="E10" s="2"/>
      <c r="F10" s="2"/>
      <c r="G10" s="2"/>
      <c r="H10" s="2">
        <v>16</v>
      </c>
      <c r="I10" s="2">
        <v>22000</v>
      </c>
      <c r="J10" s="2">
        <f>I10*H10</f>
        <v>352000</v>
      </c>
    </row>
    <row r="11" spans="1:10" x14ac:dyDescent="0.35">
      <c r="A11" s="2" t="s">
        <v>37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5">
      <c r="A12" s="2" t="s">
        <v>8</v>
      </c>
      <c r="B12" s="2"/>
      <c r="C12" s="2"/>
      <c r="D12" s="2"/>
      <c r="E12" s="2"/>
      <c r="F12" s="2"/>
      <c r="G12" s="2"/>
      <c r="H12" s="2">
        <f>0.5*D6</f>
        <v>8</v>
      </c>
      <c r="I12" s="2">
        <v>1450</v>
      </c>
      <c r="J12" s="2">
        <f>I12*H12</f>
        <v>11600</v>
      </c>
    </row>
    <row r="13" spans="1:10" x14ac:dyDescent="0.35">
      <c r="A13" s="2" t="s">
        <v>9</v>
      </c>
      <c r="B13" s="2"/>
      <c r="C13" s="2"/>
      <c r="D13" s="2"/>
      <c r="E13" s="2"/>
      <c r="F13" s="2"/>
      <c r="G13" s="2"/>
      <c r="H13" s="2">
        <f>1*D6</f>
        <v>16</v>
      </c>
      <c r="I13" s="2">
        <v>4200</v>
      </c>
      <c r="J13" s="2">
        <f t="shared" ref="J13:J16" si="0">I13*H13</f>
        <v>67200</v>
      </c>
    </row>
    <row r="14" spans="1:10" x14ac:dyDescent="0.35">
      <c r="A14" s="2" t="s">
        <v>28</v>
      </c>
      <c r="B14" s="2"/>
      <c r="C14" s="2"/>
      <c r="D14" s="2"/>
      <c r="E14" s="2"/>
      <c r="F14" s="2"/>
      <c r="G14" s="2"/>
      <c r="H14" s="2">
        <f>28*D6</f>
        <v>448</v>
      </c>
      <c r="I14" s="2">
        <v>25</v>
      </c>
      <c r="J14" s="2">
        <f t="shared" si="0"/>
        <v>11200</v>
      </c>
    </row>
    <row r="15" spans="1:10" x14ac:dyDescent="0.35">
      <c r="A15" s="2" t="s">
        <v>29</v>
      </c>
      <c r="B15" s="2"/>
      <c r="C15" s="2"/>
      <c r="D15" s="2"/>
      <c r="E15" s="2"/>
      <c r="F15" s="2"/>
      <c r="G15" s="2"/>
      <c r="H15" s="2">
        <f>28*D6</f>
        <v>448</v>
      </c>
      <c r="I15" s="2">
        <v>35</v>
      </c>
      <c r="J15" s="2">
        <f t="shared" si="0"/>
        <v>15680</v>
      </c>
    </row>
    <row r="16" spans="1:10" x14ac:dyDescent="0.35">
      <c r="A16" s="2" t="s">
        <v>10</v>
      </c>
      <c r="B16" s="2"/>
      <c r="C16" s="2"/>
      <c r="D16" s="2"/>
      <c r="E16" s="2"/>
      <c r="F16" s="2"/>
      <c r="G16" s="2"/>
      <c r="H16" s="2">
        <f>J10</f>
        <v>352000</v>
      </c>
      <c r="I16" s="4">
        <v>0.08</v>
      </c>
      <c r="J16" s="2">
        <f t="shared" si="0"/>
        <v>28160</v>
      </c>
    </row>
    <row r="17" spans="1:10" x14ac:dyDescent="0.35">
      <c r="A17" s="2" t="s">
        <v>17</v>
      </c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 t="s">
        <v>18</v>
      </c>
      <c r="B18" s="2"/>
      <c r="C18" s="2"/>
      <c r="D18" s="2"/>
      <c r="E18" s="2"/>
      <c r="F18" s="2"/>
      <c r="G18" s="2"/>
      <c r="H18" s="2"/>
      <c r="I18" s="2"/>
      <c r="J18" s="2">
        <f>J10-SUM(J12:J16)</f>
        <v>218160</v>
      </c>
    </row>
    <row r="19" spans="1:10" x14ac:dyDescent="0.35">
      <c r="A19" s="2" t="s">
        <v>19</v>
      </c>
      <c r="B19" s="2"/>
      <c r="C19" s="2"/>
      <c r="D19" s="2"/>
      <c r="E19" s="2"/>
      <c r="F19" s="2"/>
      <c r="G19" s="2"/>
      <c r="H19" s="2"/>
      <c r="I19" s="2"/>
      <c r="J19" s="2">
        <f>J18/J10</f>
        <v>0.61977272727272725</v>
      </c>
    </row>
    <row r="20" spans="1:1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" t="s">
        <v>30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2" t="s">
        <v>20</v>
      </c>
      <c r="B22" s="2"/>
      <c r="C22" s="2"/>
      <c r="D22" s="2"/>
      <c r="E22" s="2"/>
      <c r="F22" s="2"/>
      <c r="G22" s="2"/>
      <c r="H22" s="2"/>
      <c r="I22" s="2"/>
      <c r="J22" s="2">
        <f>19*75000*1/60</f>
        <v>23750</v>
      </c>
    </row>
    <row r="23" spans="1:10" x14ac:dyDescent="0.35">
      <c r="A23" s="2" t="s">
        <v>21</v>
      </c>
      <c r="B23" s="2"/>
      <c r="C23" s="2"/>
      <c r="D23" s="2"/>
      <c r="E23" s="2"/>
      <c r="F23" s="2"/>
      <c r="G23" s="2"/>
      <c r="H23" s="2"/>
      <c r="I23" s="2"/>
      <c r="J23" s="2">
        <f>5000*9+10*4000</f>
        <v>85000</v>
      </c>
    </row>
    <row r="24" spans="1:10" x14ac:dyDescent="0.35">
      <c r="A24" s="2" t="s">
        <v>22</v>
      </c>
      <c r="B24" s="2"/>
      <c r="C24" s="2"/>
      <c r="D24" s="2"/>
      <c r="E24" s="2"/>
      <c r="F24" s="2"/>
      <c r="G24" s="2"/>
      <c r="H24" s="2"/>
      <c r="I24" s="2"/>
      <c r="J24" s="2">
        <f>2000*2</f>
        <v>4000</v>
      </c>
    </row>
    <row r="25" spans="1:10" x14ac:dyDescent="0.35">
      <c r="A25" s="2" t="s">
        <v>23</v>
      </c>
      <c r="B25" s="2"/>
      <c r="C25" s="2"/>
      <c r="D25" s="2"/>
      <c r="E25" s="2"/>
      <c r="F25" s="2"/>
      <c r="G25" s="2"/>
      <c r="H25" s="2"/>
      <c r="I25" s="2"/>
      <c r="J25" s="2">
        <f>10*1.1*1280+2.4*4*1280+1380*1*4.5</f>
        <v>32578</v>
      </c>
    </row>
    <row r="26" spans="1:10" x14ac:dyDescent="0.35">
      <c r="A26" s="2" t="s">
        <v>24</v>
      </c>
      <c r="B26" s="2"/>
      <c r="C26" s="2"/>
      <c r="D26" s="2"/>
      <c r="E26" s="2"/>
      <c r="F26" s="2"/>
      <c r="G26" s="2"/>
      <c r="H26" s="2"/>
      <c r="I26" s="2"/>
      <c r="J26" s="2">
        <f>12*1280</f>
        <v>15360</v>
      </c>
    </row>
    <row r="27" spans="1:10" x14ac:dyDescent="0.35">
      <c r="A27" s="2" t="s">
        <v>25</v>
      </c>
      <c r="B27" s="2"/>
      <c r="C27" s="2"/>
      <c r="D27" s="2"/>
      <c r="E27" s="2"/>
      <c r="F27" s="2"/>
      <c r="G27" s="2"/>
      <c r="H27" s="2"/>
      <c r="I27" s="2"/>
      <c r="J27" s="2">
        <v>17000</v>
      </c>
    </row>
    <row r="28" spans="1:10" x14ac:dyDescent="0.35">
      <c r="A28" s="2" t="s">
        <v>26</v>
      </c>
      <c r="B28" s="2"/>
      <c r="C28" s="2"/>
      <c r="D28" s="2"/>
      <c r="E28" s="2"/>
      <c r="F28" s="2"/>
      <c r="G28" s="2"/>
      <c r="H28" s="2"/>
      <c r="I28" s="2"/>
      <c r="J28" s="2">
        <v>5000</v>
      </c>
    </row>
    <row r="29" spans="1:10" x14ac:dyDescent="0.35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>
        <v>18000</v>
      </c>
    </row>
    <row r="30" spans="1:1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5">
      <c r="A31" s="1" t="s">
        <v>27</v>
      </c>
      <c r="B31" s="1"/>
      <c r="C31" s="1"/>
      <c r="D31" s="1"/>
      <c r="E31" s="1"/>
      <c r="F31" s="1"/>
      <c r="G31" s="1"/>
      <c r="H31" s="1"/>
      <c r="I31" s="1"/>
      <c r="J31" s="1">
        <f>J18-SUM(J22:J29)</f>
        <v>17472</v>
      </c>
    </row>
    <row r="33" spans="1:10" x14ac:dyDescent="0.35">
      <c r="A33" t="s">
        <v>32</v>
      </c>
      <c r="J33">
        <f>SUM(J22:J29)/J19</f>
        <v>323809.02090209024</v>
      </c>
    </row>
    <row r="34" spans="1:10" x14ac:dyDescent="0.35">
      <c r="A34" t="s">
        <v>33</v>
      </c>
      <c r="J34">
        <f>J33/22000</f>
        <v>14.718591859185921</v>
      </c>
    </row>
    <row r="36" spans="1:10" x14ac:dyDescent="0.35">
      <c r="G36" t="s">
        <v>35</v>
      </c>
    </row>
    <row r="37" spans="1:10" x14ac:dyDescent="0.35">
      <c r="B37" t="s">
        <v>34</v>
      </c>
    </row>
    <row r="38" spans="1:10" x14ac:dyDescent="0.35">
      <c r="B38" t="s">
        <v>36</v>
      </c>
    </row>
  </sheetData>
  <mergeCells count="3">
    <mergeCell ref="B8:D8"/>
    <mergeCell ref="E8:G8"/>
    <mergeCell ref="H8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N48"/>
  <sheetViews>
    <sheetView tabSelected="1" zoomScale="91" workbookViewId="0">
      <selection activeCell="J9" sqref="J9"/>
    </sheetView>
  </sheetViews>
  <sheetFormatPr baseColWidth="10" defaultRowHeight="14.5" x14ac:dyDescent="0.35"/>
  <cols>
    <col min="1" max="1" width="22.6328125" bestFit="1" customWidth="1"/>
    <col min="2" max="2" width="5.81640625" bestFit="1" customWidth="1"/>
    <col min="3" max="3" width="8" bestFit="1" customWidth="1"/>
    <col min="4" max="4" width="10" bestFit="1" customWidth="1"/>
    <col min="5" max="5" width="6.81640625" bestFit="1" customWidth="1"/>
    <col min="6" max="6" width="8" bestFit="1" customWidth="1"/>
    <col min="7" max="7" width="13.54296875" customWidth="1"/>
    <col min="8" max="8" width="6.81640625" bestFit="1" customWidth="1"/>
    <col min="9" max="9" width="9" bestFit="1" customWidth="1"/>
    <col min="10" max="10" width="13" customWidth="1"/>
    <col min="11" max="11" width="13.453125" bestFit="1" customWidth="1"/>
    <col min="12" max="12" width="18.54296875" customWidth="1"/>
    <col min="13" max="13" width="18" customWidth="1"/>
    <col min="14" max="14" width="20.1796875" customWidth="1"/>
  </cols>
  <sheetData>
    <row r="1" spans="1:14" x14ac:dyDescent="0.35">
      <c r="A1" s="25" t="s">
        <v>61</v>
      </c>
      <c r="B1" s="25"/>
      <c r="C1" s="25"/>
      <c r="D1" s="25"/>
    </row>
    <row r="2" spans="1:14" x14ac:dyDescent="0.35">
      <c r="A2" s="1"/>
      <c r="B2" s="1" t="s">
        <v>0</v>
      </c>
      <c r="C2" s="1" t="s">
        <v>1</v>
      </c>
      <c r="D2" s="1" t="s">
        <v>2</v>
      </c>
      <c r="G2" s="15" t="s">
        <v>62</v>
      </c>
      <c r="H2" s="15"/>
      <c r="I2" s="15"/>
      <c r="L2" s="2"/>
      <c r="M2" s="2" t="s">
        <v>67</v>
      </c>
      <c r="N2" s="2" t="s">
        <v>68</v>
      </c>
    </row>
    <row r="3" spans="1:14" x14ac:dyDescent="0.35">
      <c r="A3" s="1" t="s">
        <v>3</v>
      </c>
      <c r="B3" s="28">
        <v>30</v>
      </c>
      <c r="C3" s="28">
        <v>35</v>
      </c>
      <c r="D3" s="28">
        <v>16</v>
      </c>
      <c r="G3" s="14" t="s">
        <v>63</v>
      </c>
      <c r="H3" s="14"/>
      <c r="I3" s="14"/>
      <c r="L3" s="2" t="s">
        <v>66</v>
      </c>
      <c r="M3" s="16">
        <v>9</v>
      </c>
      <c r="N3" s="16">
        <v>10</v>
      </c>
    </row>
    <row r="4" spans="1:14" x14ac:dyDescent="0.35">
      <c r="A4" s="1" t="s">
        <v>65</v>
      </c>
      <c r="B4" s="23">
        <f>B3</f>
        <v>30</v>
      </c>
      <c r="C4" s="23">
        <f t="shared" ref="C4:D4" si="0">C3</f>
        <v>35</v>
      </c>
      <c r="D4" s="23">
        <f t="shared" si="0"/>
        <v>16</v>
      </c>
      <c r="G4" s="21" t="s">
        <v>64</v>
      </c>
      <c r="H4" s="21"/>
      <c r="I4" s="21"/>
      <c r="L4" s="2" t="s">
        <v>69</v>
      </c>
      <c r="M4" s="2">
        <f>M3*200</f>
        <v>1800</v>
      </c>
      <c r="N4" s="2">
        <f>N3*200</f>
        <v>2000</v>
      </c>
    </row>
    <row r="5" spans="1:14" x14ac:dyDescent="0.35">
      <c r="A5" s="1" t="s">
        <v>5</v>
      </c>
      <c r="B5" s="17">
        <v>43</v>
      </c>
      <c r="C5" s="17">
        <v>50</v>
      </c>
      <c r="D5" s="17">
        <v>16</v>
      </c>
      <c r="G5" s="27" t="s">
        <v>72</v>
      </c>
      <c r="H5" s="27"/>
      <c r="I5" s="27"/>
      <c r="L5" s="2" t="s">
        <v>70</v>
      </c>
      <c r="M5" s="2">
        <f>SUM(B13+E13+H13)</f>
        <v>824</v>
      </c>
      <c r="N5" s="2">
        <f>SUM(B14,E14,H14)</f>
        <v>898</v>
      </c>
    </row>
    <row r="6" spans="1:14" x14ac:dyDescent="0.35">
      <c r="A6" s="1" t="s">
        <v>6</v>
      </c>
      <c r="B6" s="2">
        <f>B3+B4-B5</f>
        <v>17</v>
      </c>
      <c r="C6" s="2">
        <f t="shared" ref="C6:D6" si="1">C3+C4-C5</f>
        <v>20</v>
      </c>
      <c r="D6" s="2">
        <f t="shared" si="1"/>
        <v>16</v>
      </c>
      <c r="L6" s="2" t="s">
        <v>71</v>
      </c>
      <c r="M6" s="2" t="str">
        <f>IF(M4&lt;M5,"Warning",IF(0.9*M4&gt;M5,"trop de temps dispo","Ok"))</f>
        <v>trop de temps dispo</v>
      </c>
      <c r="N6" s="2" t="str">
        <f>IF(N4&lt;N5,"Warning",IF(0.9*N4&gt;N5,"trop de temps dispo","Ok"))</f>
        <v>trop de temps dispo</v>
      </c>
    </row>
    <row r="8" spans="1:14" x14ac:dyDescent="0.35">
      <c r="A8" s="2"/>
      <c r="B8" s="24" t="s">
        <v>13</v>
      </c>
      <c r="C8" s="24"/>
      <c r="D8" s="24"/>
      <c r="E8" s="24" t="s">
        <v>14</v>
      </c>
      <c r="F8" s="24"/>
      <c r="G8" s="24"/>
      <c r="H8" s="24" t="s">
        <v>15</v>
      </c>
      <c r="I8" s="24"/>
      <c r="J8" s="24"/>
    </row>
    <row r="9" spans="1:14" x14ac:dyDescent="0.35">
      <c r="A9" s="2"/>
      <c r="B9" s="2" t="s">
        <v>16</v>
      </c>
      <c r="C9" s="2" t="s">
        <v>11</v>
      </c>
      <c r="D9" s="2" t="s">
        <v>12</v>
      </c>
      <c r="E9" s="2" t="s">
        <v>16</v>
      </c>
      <c r="F9" s="2" t="s">
        <v>11</v>
      </c>
      <c r="G9" s="2" t="s">
        <v>12</v>
      </c>
      <c r="H9" s="2" t="s">
        <v>16</v>
      </c>
      <c r="I9" s="2" t="s">
        <v>11</v>
      </c>
      <c r="J9" s="2" t="s">
        <v>12</v>
      </c>
    </row>
    <row r="10" spans="1:14" x14ac:dyDescent="0.35">
      <c r="A10" s="2" t="s">
        <v>38</v>
      </c>
      <c r="B10" s="2"/>
      <c r="C10" s="2"/>
      <c r="D10" s="2"/>
      <c r="E10" s="2"/>
      <c r="F10" s="2"/>
      <c r="G10" s="2"/>
      <c r="H10" s="2"/>
      <c r="I10" s="2"/>
      <c r="J10" s="5"/>
    </row>
    <row r="11" spans="1:14" x14ac:dyDescent="0.35">
      <c r="A11" s="2" t="s">
        <v>8</v>
      </c>
      <c r="B11" s="2">
        <f>0.1*B6</f>
        <v>1.7000000000000002</v>
      </c>
      <c r="C11" s="16">
        <f>I11</f>
        <v>1450</v>
      </c>
      <c r="D11" s="5">
        <f>C11*B11</f>
        <v>2465.0000000000005</v>
      </c>
      <c r="E11" s="2">
        <f>0.2*C6</f>
        <v>4</v>
      </c>
      <c r="F11" s="16">
        <f>C11</f>
        <v>1450</v>
      </c>
      <c r="G11" s="5">
        <f>F11*E11</f>
        <v>5800</v>
      </c>
      <c r="H11" s="2">
        <f>0.5*D6</f>
        <v>8</v>
      </c>
      <c r="I11" s="16">
        <v>1450</v>
      </c>
      <c r="J11" s="5">
        <f>I11*H11</f>
        <v>11600</v>
      </c>
    </row>
    <row r="12" spans="1:14" x14ac:dyDescent="0.35">
      <c r="A12" s="2" t="s">
        <v>9</v>
      </c>
      <c r="B12" s="2">
        <f>0.2*B6</f>
        <v>3.4000000000000004</v>
      </c>
      <c r="C12" s="16">
        <f>I12</f>
        <v>4200</v>
      </c>
      <c r="D12" s="5">
        <f t="shared" ref="D12:D14" si="2">C12*B12</f>
        <v>14280.000000000002</v>
      </c>
      <c r="E12" s="2">
        <f>0.4*C6</f>
        <v>8</v>
      </c>
      <c r="F12" s="16">
        <f>C12</f>
        <v>4200</v>
      </c>
      <c r="G12" s="5">
        <f>F12*E12</f>
        <v>33600</v>
      </c>
      <c r="H12" s="2">
        <f>1*D6</f>
        <v>16</v>
      </c>
      <c r="I12" s="16">
        <v>4200</v>
      </c>
      <c r="J12" s="5">
        <f t="shared" ref="J12:J14" si="3">I12*H12</f>
        <v>67200</v>
      </c>
    </row>
    <row r="13" spans="1:14" x14ac:dyDescent="0.35">
      <c r="A13" s="2" t="s">
        <v>28</v>
      </c>
      <c r="B13" s="2">
        <f>8*B6</f>
        <v>136</v>
      </c>
      <c r="C13" s="2">
        <f>F13</f>
        <v>25</v>
      </c>
      <c r="D13" s="5">
        <f t="shared" si="2"/>
        <v>3400</v>
      </c>
      <c r="E13" s="2">
        <f>12*C6</f>
        <v>240</v>
      </c>
      <c r="F13" s="2">
        <f>I13</f>
        <v>25</v>
      </c>
      <c r="G13" s="5">
        <f>F13*E13</f>
        <v>6000</v>
      </c>
      <c r="H13" s="2">
        <f>28*D6</f>
        <v>448</v>
      </c>
      <c r="I13" s="2">
        <v>25</v>
      </c>
      <c r="J13" s="5">
        <f t="shared" si="3"/>
        <v>11200</v>
      </c>
    </row>
    <row r="14" spans="1:14" x14ac:dyDescent="0.35">
      <c r="A14" s="2" t="s">
        <v>29</v>
      </c>
      <c r="B14" s="2">
        <f>10*B6</f>
        <v>170</v>
      </c>
      <c r="C14" s="2">
        <f>F14</f>
        <v>35</v>
      </c>
      <c r="D14" s="5">
        <f t="shared" si="2"/>
        <v>5950</v>
      </c>
      <c r="E14" s="2">
        <f>14*C6</f>
        <v>280</v>
      </c>
      <c r="F14" s="2">
        <f>I14</f>
        <v>35</v>
      </c>
      <c r="G14" s="5">
        <f>F14*E14</f>
        <v>9800</v>
      </c>
      <c r="H14" s="2">
        <f>28*D6</f>
        <v>448</v>
      </c>
      <c r="I14" s="2">
        <v>35</v>
      </c>
      <c r="J14" s="5">
        <f t="shared" si="3"/>
        <v>15680</v>
      </c>
    </row>
    <row r="15" spans="1:14" x14ac:dyDescent="0.35">
      <c r="A15" s="6" t="s">
        <v>39</v>
      </c>
      <c r="B15" s="6"/>
      <c r="C15" s="6"/>
      <c r="D15" s="7"/>
      <c r="E15" s="6"/>
      <c r="F15" s="6"/>
      <c r="G15" s="7"/>
      <c r="H15" s="6"/>
      <c r="I15" s="6"/>
      <c r="J15" s="7"/>
    </row>
    <row r="16" spans="1:14" x14ac:dyDescent="0.35">
      <c r="A16" s="5" t="s">
        <v>42</v>
      </c>
      <c r="B16" s="5"/>
      <c r="C16" s="5"/>
      <c r="D16" s="5">
        <f>$K16*$B$13/($B$13+$E$13+$H$13)</f>
        <v>1856.7961165048544</v>
      </c>
      <c r="E16" s="5"/>
      <c r="F16" s="5"/>
      <c r="G16" s="5">
        <f>$K16*$E$13/($B$13+$E$13+$H$13)</f>
        <v>3276.6990291262136</v>
      </c>
      <c r="H16" s="5"/>
      <c r="I16" s="5"/>
      <c r="J16" s="5">
        <f>$K16*$H$13/($B$13+$E$13+$H$13)</f>
        <v>6116.5048543689318</v>
      </c>
      <c r="K16" s="11">
        <f>M3*75000*1/60</f>
        <v>11250</v>
      </c>
    </row>
    <row r="17" spans="1:11" x14ac:dyDescent="0.35">
      <c r="A17" s="5" t="s">
        <v>43</v>
      </c>
      <c r="B17" s="5"/>
      <c r="C17" s="5"/>
      <c r="D17" s="5">
        <f>$K17*$B$14/($B$14+$E$14+$H$14)</f>
        <v>2366.3697104677062</v>
      </c>
      <c r="E17" s="5"/>
      <c r="F17" s="5"/>
      <c r="G17" s="5">
        <f>$K17*$E$14/($B$14+$E$14+$H$14)</f>
        <v>3897.5501113585747</v>
      </c>
      <c r="H17" s="5"/>
      <c r="I17" s="5"/>
      <c r="J17" s="5">
        <f>$K17*$H$14/($B$14+$E$14+$H$14)</f>
        <v>6236.0801781737191</v>
      </c>
      <c r="K17" s="11">
        <f>N3*75000*1/60</f>
        <v>12500</v>
      </c>
    </row>
    <row r="18" spans="1:11" x14ac:dyDescent="0.35">
      <c r="A18" s="5" t="s">
        <v>44</v>
      </c>
      <c r="B18" s="5"/>
      <c r="C18" s="5"/>
      <c r="D18" s="5">
        <f t="shared" ref="D18:D20" si="4">$K18*$B$13/($B$13+$E$13+$H$13)</f>
        <v>7427.1844660194174</v>
      </c>
      <c r="E18" s="5"/>
      <c r="F18" s="5"/>
      <c r="G18" s="5">
        <f t="shared" ref="G18:G20" si="5">$K18*$E$13/($B$13+$E$13+$H$13)</f>
        <v>13106.796116504855</v>
      </c>
      <c r="H18" s="5"/>
      <c r="I18" s="5"/>
      <c r="J18" s="5">
        <f t="shared" ref="J18:J20" si="6">$K18*$H$13/($B$13+$E$13+$H$13)</f>
        <v>24466.019417475727</v>
      </c>
      <c r="K18" s="11">
        <f>5000*M3</f>
        <v>45000</v>
      </c>
    </row>
    <row r="19" spans="1:11" x14ac:dyDescent="0.35">
      <c r="A19" s="5" t="s">
        <v>45</v>
      </c>
      <c r="B19" s="5"/>
      <c r="C19" s="5"/>
      <c r="D19" s="5">
        <f>$K19*$B$14/($B$14+$E$14+$H$14)</f>
        <v>7572.3830734966596</v>
      </c>
      <c r="E19" s="5"/>
      <c r="F19" s="5"/>
      <c r="G19" s="5">
        <f>$K19*$E$14/($B$14+$E$14+$H$14)</f>
        <v>12472.160356347438</v>
      </c>
      <c r="H19" s="5"/>
      <c r="I19" s="5"/>
      <c r="J19" s="5">
        <f>$K19*$H$14/($B$14+$E$14+$H$14)</f>
        <v>19955.4565701559</v>
      </c>
      <c r="K19" s="11">
        <f>4000*N3</f>
        <v>40000</v>
      </c>
    </row>
    <row r="20" spans="1:11" x14ac:dyDescent="0.35">
      <c r="A20" s="5" t="s">
        <v>46</v>
      </c>
      <c r="B20" s="5"/>
      <c r="C20" s="5"/>
      <c r="D20" s="5">
        <f t="shared" si="4"/>
        <v>330.09708737864077</v>
      </c>
      <c r="E20" s="5"/>
      <c r="F20" s="5"/>
      <c r="G20" s="5">
        <f t="shared" si="5"/>
        <v>582.52427184466023</v>
      </c>
      <c r="H20" s="5"/>
      <c r="I20" s="5"/>
      <c r="J20" s="5">
        <f t="shared" si="6"/>
        <v>1087.3786407766991</v>
      </c>
      <c r="K20" s="11">
        <f>2000</f>
        <v>2000</v>
      </c>
    </row>
    <row r="21" spans="1:11" x14ac:dyDescent="0.35">
      <c r="A21" s="5" t="s">
        <v>47</v>
      </c>
      <c r="B21" s="5"/>
      <c r="C21" s="5"/>
      <c r="D21" s="5">
        <f>$K21*$B$14/($B$14+$E$14+$H$14)</f>
        <v>378.61915367483294</v>
      </c>
      <c r="E21" s="5"/>
      <c r="F21" s="5"/>
      <c r="G21" s="5">
        <f>$K21*$E$14/($B$14+$E$14+$H$14)</f>
        <v>623.60801781737189</v>
      </c>
      <c r="H21" s="5"/>
      <c r="I21" s="5"/>
      <c r="J21" s="5">
        <f>$K21*$H$14/($B$14+$E$14+$H$14)</f>
        <v>997.77282850779511</v>
      </c>
      <c r="K21" s="11">
        <v>2000</v>
      </c>
    </row>
    <row r="22" spans="1:11" x14ac:dyDescent="0.35">
      <c r="A22" s="2" t="s">
        <v>41</v>
      </c>
      <c r="B22" s="2">
        <f>B6</f>
        <v>17</v>
      </c>
      <c r="C22" s="8">
        <f>D22/B22</f>
        <v>2707.4382122083593</v>
      </c>
      <c r="D22" s="8">
        <f>SUM(D11:D21)</f>
        <v>46026.449607542112</v>
      </c>
      <c r="E22" s="2">
        <f>C6</f>
        <v>20</v>
      </c>
      <c r="F22" s="8">
        <f>G22/E22</f>
        <v>4457.9668951499552</v>
      </c>
      <c r="G22" s="8">
        <f>SUM(G11:G21)</f>
        <v>89159.337902999105</v>
      </c>
      <c r="H22" s="2">
        <f>D6</f>
        <v>16</v>
      </c>
      <c r="I22" s="8">
        <f>J22/H22</f>
        <v>10283.700780591173</v>
      </c>
      <c r="J22" s="8">
        <f>SUM(J11:J21)</f>
        <v>164539.21248945876</v>
      </c>
      <c r="K22" s="2"/>
    </row>
    <row r="23" spans="1:11" x14ac:dyDescent="0.35">
      <c r="C23" s="12"/>
      <c r="D23" s="12"/>
      <c r="F23" s="12"/>
      <c r="G23" s="12"/>
      <c r="I23" s="12"/>
      <c r="J23" s="12"/>
    </row>
    <row r="24" spans="1:11" x14ac:dyDescent="0.35">
      <c r="C24" s="12"/>
      <c r="D24" s="12"/>
      <c r="F24" s="12"/>
      <c r="G24" s="12"/>
      <c r="I24" s="12"/>
      <c r="J24" s="12"/>
    </row>
    <row r="26" spans="1:11" x14ac:dyDescent="0.35">
      <c r="A26" s="26" t="s">
        <v>40</v>
      </c>
      <c r="B26" s="26"/>
      <c r="C26" s="26"/>
      <c r="D26" s="26"/>
      <c r="E26" s="26"/>
      <c r="F26" s="26"/>
      <c r="G26" s="26"/>
      <c r="H26" s="26"/>
      <c r="I26" s="26"/>
      <c r="J26" s="26"/>
    </row>
    <row r="27" spans="1:11" x14ac:dyDescent="0.35">
      <c r="A27" s="2"/>
      <c r="B27" s="2" t="s">
        <v>16</v>
      </c>
      <c r="C27" s="2" t="s">
        <v>11</v>
      </c>
      <c r="D27" s="2" t="s">
        <v>12</v>
      </c>
      <c r="E27" s="2" t="s">
        <v>16</v>
      </c>
      <c r="F27" s="2" t="s">
        <v>11</v>
      </c>
      <c r="G27" s="2" t="s">
        <v>12</v>
      </c>
      <c r="H27" s="2" t="s">
        <v>16</v>
      </c>
      <c r="I27" s="2" t="s">
        <v>11</v>
      </c>
      <c r="J27" s="2" t="s">
        <v>12</v>
      </c>
    </row>
    <row r="28" spans="1:11" x14ac:dyDescent="0.35">
      <c r="A28" s="2" t="s">
        <v>48</v>
      </c>
      <c r="B28" s="17">
        <f>B5</f>
        <v>43</v>
      </c>
      <c r="C28" s="18">
        <v>2018.57</v>
      </c>
      <c r="D28" s="19">
        <f>C28*B28</f>
        <v>86798.51</v>
      </c>
      <c r="E28" s="17">
        <f>C5</f>
        <v>50</v>
      </c>
      <c r="F28" s="18">
        <v>3645.93</v>
      </c>
      <c r="G28" s="19">
        <f>F28*E28</f>
        <v>182296.5</v>
      </c>
      <c r="H28" s="17">
        <f>D5</f>
        <v>16</v>
      </c>
      <c r="I28" s="18">
        <v>8694.27</v>
      </c>
      <c r="J28" s="19">
        <f>I28*H28</f>
        <v>139108.32</v>
      </c>
    </row>
    <row r="29" spans="1:11" x14ac:dyDescent="0.35">
      <c r="A29" s="2" t="s">
        <v>49</v>
      </c>
      <c r="B29" s="2">
        <f t="shared" ref="B29:J29" si="7">B22</f>
        <v>17</v>
      </c>
      <c r="C29" s="10">
        <f t="shared" si="7"/>
        <v>2707.4382122083593</v>
      </c>
      <c r="D29" s="10">
        <f t="shared" si="7"/>
        <v>46026.449607542112</v>
      </c>
      <c r="E29" s="2">
        <f t="shared" si="7"/>
        <v>20</v>
      </c>
      <c r="F29" s="10">
        <f t="shared" si="7"/>
        <v>4457.9668951499552</v>
      </c>
      <c r="G29" s="10">
        <f t="shared" si="7"/>
        <v>89159.337902999105</v>
      </c>
      <c r="H29" s="2">
        <f t="shared" si="7"/>
        <v>16</v>
      </c>
      <c r="I29" s="10">
        <f t="shared" si="7"/>
        <v>10283.700780591173</v>
      </c>
      <c r="J29" s="10">
        <f t="shared" si="7"/>
        <v>164539.21248945876</v>
      </c>
    </row>
    <row r="30" spans="1:11" x14ac:dyDescent="0.35">
      <c r="A30" s="2" t="s">
        <v>50</v>
      </c>
      <c r="B30" s="2">
        <f>B29+B28</f>
        <v>60</v>
      </c>
      <c r="C30" s="8">
        <f>D30/B30</f>
        <v>2213.7493267923687</v>
      </c>
      <c r="D30" s="5">
        <f>D29+D28</f>
        <v>132824.95960754211</v>
      </c>
      <c r="E30" s="5">
        <f t="shared" ref="E30:J30" si="8">E29+E28</f>
        <v>70</v>
      </c>
      <c r="F30" s="8">
        <f>G30/E30</f>
        <v>3877.9405414714161</v>
      </c>
      <c r="G30" s="5">
        <f t="shared" si="8"/>
        <v>271455.83790299913</v>
      </c>
      <c r="H30" s="5">
        <f t="shared" si="8"/>
        <v>32</v>
      </c>
      <c r="I30" s="8">
        <f>J30/H30</f>
        <v>9488.9853902955874</v>
      </c>
      <c r="J30" s="5">
        <f t="shared" si="8"/>
        <v>303647.5324894588</v>
      </c>
    </row>
    <row r="31" spans="1:11" x14ac:dyDescent="0.35">
      <c r="A31" s="2" t="s">
        <v>51</v>
      </c>
      <c r="B31" s="2">
        <f>B3</f>
        <v>30</v>
      </c>
      <c r="C31" s="8">
        <f>C30</f>
        <v>2213.7493267923687</v>
      </c>
      <c r="D31" s="8">
        <f>C31*B31</f>
        <v>66412.479803771057</v>
      </c>
      <c r="E31" s="2">
        <f>C3</f>
        <v>35</v>
      </c>
      <c r="F31" s="8">
        <f>F30</f>
        <v>3877.9405414714161</v>
      </c>
      <c r="G31" s="8">
        <f>F31*E31</f>
        <v>135727.91895149957</v>
      </c>
      <c r="H31" s="2">
        <f>D3</f>
        <v>16</v>
      </c>
      <c r="I31" s="8">
        <f>I30</f>
        <v>9488.9853902955874</v>
      </c>
      <c r="J31" s="8">
        <f>I31*H31</f>
        <v>151823.7662447294</v>
      </c>
    </row>
    <row r="32" spans="1:11" x14ac:dyDescent="0.35">
      <c r="A32" s="2" t="s">
        <v>52</v>
      </c>
      <c r="B32" s="2">
        <f>B30-B31</f>
        <v>30</v>
      </c>
      <c r="C32" s="8">
        <f>C31</f>
        <v>2213.7493267923687</v>
      </c>
      <c r="D32" s="8">
        <f>C32*B32</f>
        <v>66412.479803771057</v>
      </c>
      <c r="E32" s="2">
        <f>E30-E31</f>
        <v>35</v>
      </c>
      <c r="F32" s="8">
        <f>F31</f>
        <v>3877.9405414714161</v>
      </c>
      <c r="G32" s="8">
        <f>F32*E32</f>
        <v>135727.91895149957</v>
      </c>
      <c r="H32" s="2">
        <f>H30-H31</f>
        <v>16</v>
      </c>
      <c r="I32" s="8">
        <f>I31</f>
        <v>9488.9853902955874</v>
      </c>
      <c r="J32" s="8">
        <f>I32*H32</f>
        <v>151823.7662447294</v>
      </c>
    </row>
    <row r="34" spans="1:11" x14ac:dyDescent="0.35">
      <c r="A34" s="2"/>
      <c r="B34" s="24" t="s">
        <v>13</v>
      </c>
      <c r="C34" s="24"/>
      <c r="D34" s="24"/>
      <c r="E34" s="24" t="s">
        <v>14</v>
      </c>
      <c r="F34" s="24"/>
      <c r="G34" s="24"/>
      <c r="H34" s="24" t="s">
        <v>15</v>
      </c>
      <c r="I34" s="24"/>
      <c r="J34" s="24"/>
    </row>
    <row r="35" spans="1:11" x14ac:dyDescent="0.35">
      <c r="A35" s="2"/>
      <c r="B35" s="2" t="s">
        <v>16</v>
      </c>
      <c r="C35" s="2" t="s">
        <v>11</v>
      </c>
      <c r="D35" s="2" t="s">
        <v>12</v>
      </c>
      <c r="E35" s="2" t="s">
        <v>16</v>
      </c>
      <c r="F35" s="2" t="s">
        <v>11</v>
      </c>
      <c r="G35" s="2" t="s">
        <v>12</v>
      </c>
      <c r="H35" s="2" t="s">
        <v>16</v>
      </c>
      <c r="I35" s="2" t="s">
        <v>11</v>
      </c>
      <c r="J35" s="2" t="s">
        <v>12</v>
      </c>
    </row>
    <row r="36" spans="1:11" x14ac:dyDescent="0.35">
      <c r="A36" s="2" t="s">
        <v>41</v>
      </c>
      <c r="B36" s="2">
        <f>B31</f>
        <v>30</v>
      </c>
      <c r="C36" s="9">
        <f t="shared" ref="C36:I36" si="9">C31</f>
        <v>2213.7493267923687</v>
      </c>
      <c r="D36" s="8">
        <f t="shared" si="9"/>
        <v>66412.479803771057</v>
      </c>
      <c r="E36" s="2">
        <f t="shared" si="9"/>
        <v>35</v>
      </c>
      <c r="F36" s="8">
        <f t="shared" si="9"/>
        <v>3877.9405414714161</v>
      </c>
      <c r="G36" s="8">
        <f t="shared" si="9"/>
        <v>135727.91895149957</v>
      </c>
      <c r="H36" s="2">
        <f t="shared" si="9"/>
        <v>16</v>
      </c>
      <c r="I36" s="8">
        <f t="shared" si="9"/>
        <v>9488.9853902955874</v>
      </c>
      <c r="J36" s="8">
        <f>J31</f>
        <v>151823.7662447294</v>
      </c>
    </row>
    <row r="37" spans="1:11" x14ac:dyDescent="0.35">
      <c r="A37" s="2" t="s">
        <v>53</v>
      </c>
      <c r="B37" s="2">
        <f>3000*B31</f>
        <v>90000</v>
      </c>
      <c r="C37" s="20">
        <v>0.08</v>
      </c>
      <c r="D37" s="5">
        <f>C37*B37</f>
        <v>7200</v>
      </c>
      <c r="E37" s="2">
        <f>E31*9000</f>
        <v>315000</v>
      </c>
      <c r="F37" s="20">
        <v>0.08</v>
      </c>
      <c r="G37" s="5">
        <f>F37*E37</f>
        <v>25200</v>
      </c>
      <c r="H37" s="2">
        <f>H31*22000</f>
        <v>352000</v>
      </c>
      <c r="I37" s="20">
        <v>0.08</v>
      </c>
      <c r="J37" s="5">
        <f>I37*H37</f>
        <v>28160</v>
      </c>
    </row>
    <row r="38" spans="1:11" x14ac:dyDescent="0.35">
      <c r="A38" s="2" t="s">
        <v>54</v>
      </c>
      <c r="B38" s="2"/>
      <c r="C38" s="2"/>
      <c r="D38" s="5">
        <v>1000</v>
      </c>
      <c r="E38" s="2"/>
      <c r="F38" s="2"/>
      <c r="G38" s="5">
        <v>1200</v>
      </c>
      <c r="H38" s="2"/>
      <c r="I38" s="2"/>
      <c r="J38" s="5">
        <v>5000</v>
      </c>
    </row>
    <row r="39" spans="1:11" x14ac:dyDescent="0.35">
      <c r="A39" s="6" t="s">
        <v>39</v>
      </c>
      <c r="B39" s="6"/>
      <c r="C39" s="6"/>
      <c r="D39" s="7"/>
      <c r="E39" s="6"/>
      <c r="F39" s="6"/>
      <c r="G39" s="7"/>
      <c r="H39" s="6"/>
      <c r="I39" s="6"/>
      <c r="J39" s="7"/>
    </row>
    <row r="40" spans="1:11" x14ac:dyDescent="0.35">
      <c r="A40" s="5" t="s">
        <v>55</v>
      </c>
      <c r="B40" s="5"/>
      <c r="C40" s="5"/>
      <c r="D40" s="5">
        <f>$K40*B$37/($B$37+$E$37+$H$37)</f>
        <v>5347.5931307793917</v>
      </c>
      <c r="E40" s="5"/>
      <c r="F40" s="5"/>
      <c r="G40" s="5">
        <f>K40*$E$37/($B$37+$E$37+$H$37)</f>
        <v>18716.575957727873</v>
      </c>
      <c r="H40" s="5"/>
      <c r="I40" s="5"/>
      <c r="J40" s="5">
        <f>$K40*H$37/($B$37+$E$37+$H$37)</f>
        <v>20915.030911492733</v>
      </c>
      <c r="K40" s="16">
        <f>(10*1.1*1280+2.4*4*1280+1280*1*4.5)*1.4</f>
        <v>44979.199999999997</v>
      </c>
    </row>
    <row r="41" spans="1:11" x14ac:dyDescent="0.35">
      <c r="A41" s="5" t="s">
        <v>25</v>
      </c>
      <c r="B41" s="5"/>
      <c r="C41" s="5"/>
      <c r="D41" s="5">
        <f>$K41*B$37/($B$37+$E$37+$H$37)</f>
        <v>2021.1360634081902</v>
      </c>
      <c r="E41" s="5"/>
      <c r="F41" s="5"/>
      <c r="G41" s="5">
        <f>K41*$E$37/($B$37+$E$37+$H$37)</f>
        <v>7073.9762219286658</v>
      </c>
      <c r="H41" s="5"/>
      <c r="I41" s="5"/>
      <c r="J41" s="5">
        <f>$K41*H$37/($B$37+$E$37+$H$37)</f>
        <v>7904.8877146631439</v>
      </c>
      <c r="K41" s="16">
        <v>17000</v>
      </c>
    </row>
    <row r="42" spans="1:11" x14ac:dyDescent="0.35">
      <c r="A42" s="5" t="s">
        <v>56</v>
      </c>
      <c r="B42" s="5"/>
      <c r="C42" s="5"/>
      <c r="D42" s="5">
        <f>$K42*B$37/($B$37+$E$37+$H$37)</f>
        <v>2556.6182298546896</v>
      </c>
      <c r="E42" s="5"/>
      <c r="F42" s="5"/>
      <c r="G42" s="5">
        <f t="shared" ref="G42:G43" si="10">K42*$E$37/($B$37+$E$37+$H$37)</f>
        <v>8948.1638044914143</v>
      </c>
      <c r="H42" s="5"/>
      <c r="I42" s="5"/>
      <c r="J42" s="5">
        <f>$K42*H$37/($B$37+$E$37+$H$37)</f>
        <v>9999.2179656538974</v>
      </c>
      <c r="K42" s="16">
        <f>12*1280*1.4</f>
        <v>21504</v>
      </c>
    </row>
    <row r="43" spans="1:11" x14ac:dyDescent="0.35">
      <c r="A43" s="5" t="s">
        <v>57</v>
      </c>
      <c r="B43" s="5"/>
      <c r="C43" s="5"/>
      <c r="D43" s="5">
        <f>$K43*B$37/($B$37+$E$37+$H$37)</f>
        <v>2140.0264200792603</v>
      </c>
      <c r="E43" s="5"/>
      <c r="F43" s="5"/>
      <c r="G43" s="5">
        <f t="shared" si="10"/>
        <v>7490.0924702774109</v>
      </c>
      <c r="H43" s="5"/>
      <c r="I43" s="5"/>
      <c r="J43" s="5">
        <f>$K43*H$37/($B$37+$E$37+$H$37)</f>
        <v>8369.8811096433292</v>
      </c>
      <c r="K43" s="16">
        <v>18000</v>
      </c>
    </row>
    <row r="44" spans="1:11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1" x14ac:dyDescent="0.35">
      <c r="A45" s="2" t="s">
        <v>58</v>
      </c>
      <c r="B45" s="2">
        <f>B3</f>
        <v>30</v>
      </c>
      <c r="C45" s="8">
        <f>D45/B45</f>
        <v>2889.2617882630866</v>
      </c>
      <c r="D45" s="8">
        <f>SUM(D36:D44)</f>
        <v>86677.853647892596</v>
      </c>
      <c r="E45" s="2">
        <f>C3</f>
        <v>35</v>
      </c>
      <c r="F45" s="8">
        <f>G45/E45</f>
        <v>5838.7636401692844</v>
      </c>
      <c r="G45" s="8">
        <f>SUM(G36:G44)</f>
        <v>204356.72740592496</v>
      </c>
      <c r="H45" s="2">
        <f>D3</f>
        <v>16</v>
      </c>
      <c r="I45" s="8">
        <f>J45/H45</f>
        <v>14510.798996636406</v>
      </c>
      <c r="J45" s="8">
        <f>SUM(J36:J44)</f>
        <v>232172.78394618249</v>
      </c>
    </row>
    <row r="47" spans="1:11" x14ac:dyDescent="0.35">
      <c r="A47" s="11" t="s">
        <v>7</v>
      </c>
      <c r="B47" s="2">
        <v>30</v>
      </c>
      <c r="C47" s="2">
        <v>3000</v>
      </c>
      <c r="D47" s="2">
        <f>C47*B47</f>
        <v>90000</v>
      </c>
      <c r="E47" s="2">
        <v>35</v>
      </c>
      <c r="F47" s="2">
        <v>9000</v>
      </c>
      <c r="G47" s="2">
        <f>F47*E47</f>
        <v>315000</v>
      </c>
      <c r="H47" s="2">
        <v>16</v>
      </c>
      <c r="I47" s="2">
        <v>22000</v>
      </c>
      <c r="J47" s="2">
        <f>I47*H47</f>
        <v>352000</v>
      </c>
    </row>
    <row r="48" spans="1:11" x14ac:dyDescent="0.35">
      <c r="A48" s="11" t="s">
        <v>27</v>
      </c>
      <c r="B48" s="2">
        <f>B47</f>
        <v>30</v>
      </c>
      <c r="C48" s="8">
        <f>C47-C45</f>
        <v>110.7382117369134</v>
      </c>
      <c r="D48" s="8">
        <f>D47-D45</f>
        <v>3322.1463521074038</v>
      </c>
      <c r="E48" s="2">
        <f>E47</f>
        <v>35</v>
      </c>
      <c r="F48" s="8">
        <f>F47-F45</f>
        <v>3161.2363598307156</v>
      </c>
      <c r="G48" s="8">
        <f>G47-G45</f>
        <v>110643.27259407504</v>
      </c>
      <c r="H48" s="2">
        <f>H47</f>
        <v>16</v>
      </c>
      <c r="I48" s="8">
        <f>I47-I45</f>
        <v>7489.2010033635943</v>
      </c>
      <c r="J48" s="8">
        <f>J47-J45</f>
        <v>119827.21605381751</v>
      </c>
    </row>
  </sheetData>
  <mergeCells count="8">
    <mergeCell ref="A1:D1"/>
    <mergeCell ref="A26:J26"/>
    <mergeCell ref="B34:D34"/>
    <mergeCell ref="E34:G34"/>
    <mergeCell ref="H34:J34"/>
    <mergeCell ref="B8:D8"/>
    <mergeCell ref="E8:G8"/>
    <mergeCell ref="H8:J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2:N49"/>
  <sheetViews>
    <sheetView topLeftCell="A19" workbookViewId="0">
      <selection activeCell="G4" sqref="G4"/>
    </sheetView>
  </sheetViews>
  <sheetFormatPr baseColWidth="10" defaultRowHeight="14.5" x14ac:dyDescent="0.35"/>
  <cols>
    <col min="12" max="12" width="14.453125" customWidth="1"/>
  </cols>
  <sheetData>
    <row r="2" spans="1:14" x14ac:dyDescent="0.35">
      <c r="A2" s="1"/>
      <c r="B2" s="1" t="s">
        <v>0</v>
      </c>
      <c r="C2" s="1" t="s">
        <v>1</v>
      </c>
      <c r="D2" s="1" t="s">
        <v>2</v>
      </c>
      <c r="L2" s="2"/>
      <c r="M2" s="2" t="s">
        <v>67</v>
      </c>
      <c r="N2" s="2" t="s">
        <v>68</v>
      </c>
    </row>
    <row r="3" spans="1:14" x14ac:dyDescent="0.35">
      <c r="A3" s="1" t="s">
        <v>3</v>
      </c>
      <c r="B3" s="2">
        <v>30</v>
      </c>
      <c r="C3" s="2">
        <v>35</v>
      </c>
      <c r="D3" s="2">
        <v>16</v>
      </c>
      <c r="L3" s="2" t="s">
        <v>66</v>
      </c>
      <c r="M3" s="16">
        <v>9</v>
      </c>
      <c r="N3" s="16">
        <v>10</v>
      </c>
    </row>
    <row r="4" spans="1:14" x14ac:dyDescent="0.35">
      <c r="A4" s="1" t="s">
        <v>4</v>
      </c>
      <c r="B4" s="23">
        <v>31</v>
      </c>
      <c r="C4" s="23">
        <v>36</v>
      </c>
      <c r="D4" s="23">
        <v>16</v>
      </c>
      <c r="L4" s="2" t="s">
        <v>69</v>
      </c>
      <c r="M4" s="2">
        <f>M3*200</f>
        <v>1800</v>
      </c>
      <c r="N4" s="2">
        <f>N3*200</f>
        <v>2000</v>
      </c>
    </row>
    <row r="5" spans="1:14" x14ac:dyDescent="0.35">
      <c r="A5" s="1" t="s">
        <v>5</v>
      </c>
      <c r="B5" s="13">
        <f>43/3</f>
        <v>14.333333333333334</v>
      </c>
      <c r="C5" s="13">
        <f>50/3</f>
        <v>16.666666666666668</v>
      </c>
      <c r="D5" s="13">
        <f>16/3</f>
        <v>5.333333333333333</v>
      </c>
      <c r="L5" s="2" t="s">
        <v>70</v>
      </c>
      <c r="M5" s="2">
        <f>SUM(B13+E13+H13)</f>
        <v>1792</v>
      </c>
      <c r="N5" s="2">
        <f>SUM(B14,E14,H14)</f>
        <v>1996</v>
      </c>
    </row>
    <row r="6" spans="1:14" x14ac:dyDescent="0.35">
      <c r="A6" s="1" t="s">
        <v>6</v>
      </c>
      <c r="B6" s="2">
        <f>ROUNDUP(B3+B4-B5,0)</f>
        <v>47</v>
      </c>
      <c r="C6" s="2">
        <f>ROUNDUP(C3+C4-C5,0)</f>
        <v>55</v>
      </c>
      <c r="D6" s="2">
        <f>ROUNDUP(D3+D4-D5,0)</f>
        <v>27</v>
      </c>
      <c r="L6" s="2" t="s">
        <v>71</v>
      </c>
      <c r="M6" s="2" t="str">
        <f>IF(M4&lt;M5,"Warning",IF(0.9*M4&gt;M5,"trop de temps dispo","Ok"))</f>
        <v>Ok</v>
      </c>
      <c r="N6" s="2" t="str">
        <f>IF(N4&lt;N5,"Warning",IF(0.9*N4&gt;N5,"trop de temps dispo","Ok"))</f>
        <v>Ok</v>
      </c>
    </row>
    <row r="8" spans="1:14" x14ac:dyDescent="0.35">
      <c r="A8" s="2"/>
      <c r="B8" s="24" t="s">
        <v>13</v>
      </c>
      <c r="C8" s="24"/>
      <c r="D8" s="24"/>
      <c r="E8" s="24" t="s">
        <v>14</v>
      </c>
      <c r="F8" s="24"/>
      <c r="G8" s="24"/>
      <c r="H8" s="24" t="s">
        <v>15</v>
      </c>
      <c r="I8" s="24"/>
      <c r="J8" s="24"/>
    </row>
    <row r="9" spans="1:14" x14ac:dyDescent="0.35">
      <c r="A9" s="2"/>
      <c r="B9" s="2" t="s">
        <v>16</v>
      </c>
      <c r="C9" s="2" t="s">
        <v>11</v>
      </c>
      <c r="D9" s="2" t="s">
        <v>12</v>
      </c>
      <c r="E9" s="2" t="s">
        <v>16</v>
      </c>
      <c r="F9" s="2" t="s">
        <v>11</v>
      </c>
      <c r="G9" s="2" t="s">
        <v>12</v>
      </c>
      <c r="H9" s="2" t="s">
        <v>16</v>
      </c>
      <c r="I9" s="2" t="s">
        <v>11</v>
      </c>
      <c r="J9" s="2" t="s">
        <v>12</v>
      </c>
    </row>
    <row r="10" spans="1:14" x14ac:dyDescent="0.35">
      <c r="A10" s="2" t="s">
        <v>38</v>
      </c>
      <c r="B10" s="2"/>
      <c r="C10" s="2"/>
      <c r="D10" s="2"/>
      <c r="E10" s="2"/>
      <c r="F10" s="2"/>
      <c r="G10" s="2"/>
      <c r="H10" s="2"/>
      <c r="I10" s="2"/>
      <c r="J10" s="5"/>
    </row>
    <row r="11" spans="1:14" x14ac:dyDescent="0.35">
      <c r="A11" s="2" t="s">
        <v>8</v>
      </c>
      <c r="B11" s="2">
        <f>0.1*B6</f>
        <v>4.7</v>
      </c>
      <c r="C11" s="2">
        <f>I11</f>
        <v>1450</v>
      </c>
      <c r="D11" s="5">
        <f>C11*B11</f>
        <v>6815</v>
      </c>
      <c r="E11" s="2">
        <f>0.2*C6</f>
        <v>11</v>
      </c>
      <c r="F11" s="2">
        <f>C11</f>
        <v>1450</v>
      </c>
      <c r="G11" s="5">
        <f>F11*E11</f>
        <v>15950</v>
      </c>
      <c r="H11" s="2">
        <f>0.5*D6</f>
        <v>13.5</v>
      </c>
      <c r="I11" s="2">
        <v>1450</v>
      </c>
      <c r="J11" s="5">
        <f>I11*H11</f>
        <v>19575</v>
      </c>
    </row>
    <row r="12" spans="1:14" x14ac:dyDescent="0.35">
      <c r="A12" s="2" t="s">
        <v>9</v>
      </c>
      <c r="B12" s="2">
        <f>0.2*B6</f>
        <v>9.4</v>
      </c>
      <c r="C12" s="2">
        <f>I12</f>
        <v>4200</v>
      </c>
      <c r="D12" s="5">
        <f t="shared" ref="D12:D14" si="0">C12*B12</f>
        <v>39480</v>
      </c>
      <c r="E12" s="2">
        <f>0.4*C6</f>
        <v>22</v>
      </c>
      <c r="F12" s="2">
        <f>C12</f>
        <v>4200</v>
      </c>
      <c r="G12" s="5">
        <f>F12*E12</f>
        <v>92400</v>
      </c>
      <c r="H12" s="2">
        <f>1*D6</f>
        <v>27</v>
      </c>
      <c r="I12" s="2">
        <v>4200</v>
      </c>
      <c r="J12" s="5">
        <f t="shared" ref="J12:J14" si="1">I12*H12</f>
        <v>113400</v>
      </c>
    </row>
    <row r="13" spans="1:14" x14ac:dyDescent="0.35">
      <c r="A13" s="2" t="s">
        <v>28</v>
      </c>
      <c r="B13" s="2">
        <f>8*B6</f>
        <v>376</v>
      </c>
      <c r="C13" s="2">
        <f>F13</f>
        <v>25</v>
      </c>
      <c r="D13" s="5">
        <f t="shared" si="0"/>
        <v>9400</v>
      </c>
      <c r="E13" s="2">
        <f>12*C6</f>
        <v>660</v>
      </c>
      <c r="F13" s="2">
        <f>I13</f>
        <v>25</v>
      </c>
      <c r="G13" s="5">
        <f>F13*E13</f>
        <v>16500</v>
      </c>
      <c r="H13" s="2">
        <f>28*D6</f>
        <v>756</v>
      </c>
      <c r="I13" s="2">
        <v>25</v>
      </c>
      <c r="J13" s="5">
        <f t="shared" si="1"/>
        <v>18900</v>
      </c>
    </row>
    <row r="14" spans="1:14" x14ac:dyDescent="0.35">
      <c r="A14" s="2" t="s">
        <v>29</v>
      </c>
      <c r="B14" s="2">
        <f>10*B6</f>
        <v>470</v>
      </c>
      <c r="C14" s="2">
        <f>F14</f>
        <v>35</v>
      </c>
      <c r="D14" s="5">
        <f t="shared" si="0"/>
        <v>16450</v>
      </c>
      <c r="E14" s="2">
        <f>14*C6</f>
        <v>770</v>
      </c>
      <c r="F14" s="2">
        <f>I14</f>
        <v>35</v>
      </c>
      <c r="G14" s="5">
        <f>F14*E14</f>
        <v>26950</v>
      </c>
      <c r="H14" s="2">
        <f>28*D6</f>
        <v>756</v>
      </c>
      <c r="I14" s="2">
        <v>35</v>
      </c>
      <c r="J14" s="5">
        <f t="shared" si="1"/>
        <v>26460</v>
      </c>
    </row>
    <row r="15" spans="1:14" x14ac:dyDescent="0.35">
      <c r="A15" s="6" t="s">
        <v>39</v>
      </c>
      <c r="B15" s="6"/>
      <c r="C15" s="6"/>
      <c r="D15" s="7"/>
      <c r="E15" s="6"/>
      <c r="F15" s="6"/>
      <c r="G15" s="7"/>
      <c r="H15" s="6"/>
      <c r="I15" s="6"/>
      <c r="J15" s="7"/>
    </row>
    <row r="16" spans="1:14" x14ac:dyDescent="0.35">
      <c r="A16" s="5" t="s">
        <v>42</v>
      </c>
      <c r="B16" s="5"/>
      <c r="C16" s="5"/>
      <c r="D16" s="5">
        <f>$K16*$B$13/($B$13+$E$13+$H$13)</f>
        <v>2360.4910714285716</v>
      </c>
      <c r="E16" s="5"/>
      <c r="F16" s="5"/>
      <c r="G16" s="5">
        <f>$K16*$E$13/($B$13+$E$13+$H$13)</f>
        <v>4143.4151785714284</v>
      </c>
      <c r="H16" s="5"/>
      <c r="I16" s="5"/>
      <c r="J16" s="5">
        <f>$K16*$H$13/($B$13+$E$13+$H$13)</f>
        <v>4746.09375</v>
      </c>
      <c r="K16" s="5">
        <f>M3*75000*1/60</f>
        <v>11250</v>
      </c>
    </row>
    <row r="17" spans="1:11" x14ac:dyDescent="0.35">
      <c r="A17" s="5" t="s">
        <v>43</v>
      </c>
      <c r="B17" s="5"/>
      <c r="C17" s="5"/>
      <c r="D17" s="5">
        <f>$K17*$B$14/($B$14+$E$14+$H$14)</f>
        <v>2943.386773547094</v>
      </c>
      <c r="E17" s="5"/>
      <c r="F17" s="5"/>
      <c r="G17" s="5">
        <f>$K17*$E$14/($B$14+$E$14+$H$14)</f>
        <v>4822.1442885771539</v>
      </c>
      <c r="H17" s="5"/>
      <c r="I17" s="5"/>
      <c r="J17" s="5">
        <f>$K17*$H$14/($B$14+$E$14+$H$14)</f>
        <v>4734.4689378757512</v>
      </c>
      <c r="K17" s="5">
        <f>N3*75000*1/60</f>
        <v>12500</v>
      </c>
    </row>
    <row r="18" spans="1:11" x14ac:dyDescent="0.35">
      <c r="A18" s="5" t="s">
        <v>44</v>
      </c>
      <c r="B18" s="5"/>
      <c r="C18" s="5"/>
      <c r="D18" s="5">
        <f t="shared" ref="D18:D20" si="2">$K18*$B$13/($B$13+$E$13+$H$13)</f>
        <v>9441.9642857142862</v>
      </c>
      <c r="E18" s="5"/>
      <c r="F18" s="5"/>
      <c r="G18" s="5">
        <f>$K18*$E$13/($B$13+$E$13+$H$13)</f>
        <v>16573.660714285714</v>
      </c>
      <c r="H18" s="5"/>
      <c r="I18" s="5"/>
      <c r="J18" s="5">
        <f t="shared" ref="J18" si="3">$K18*$H$13/($B$13+$E$13+$H$13)</f>
        <v>18984.375</v>
      </c>
      <c r="K18" s="5">
        <f>5000*M3</f>
        <v>45000</v>
      </c>
    </row>
    <row r="19" spans="1:11" x14ac:dyDescent="0.35">
      <c r="A19" s="5" t="s">
        <v>45</v>
      </c>
      <c r="B19" s="5"/>
      <c r="C19" s="5"/>
      <c r="D19" s="5">
        <f>$K19*$B$14/($B$14+$E$14+$H$14)</f>
        <v>9418.8376753507018</v>
      </c>
      <c r="E19" s="5"/>
      <c r="F19" s="5"/>
      <c r="G19" s="5">
        <f>$K19*$E$14/($B$14+$E$14+$H$14)</f>
        <v>15430.861723446893</v>
      </c>
      <c r="H19" s="5"/>
      <c r="I19" s="5"/>
      <c r="J19" s="5">
        <f>$K19*$H$14/($B$14+$E$14+$H$14)</f>
        <v>15150.300601202405</v>
      </c>
      <c r="K19" s="5">
        <f>4000*N3</f>
        <v>40000</v>
      </c>
    </row>
    <row r="20" spans="1:11" x14ac:dyDescent="0.35">
      <c r="A20" s="5" t="s">
        <v>46</v>
      </c>
      <c r="B20" s="5"/>
      <c r="C20" s="5"/>
      <c r="D20" s="5">
        <f t="shared" si="2"/>
        <v>419.64285714285717</v>
      </c>
      <c r="E20" s="5"/>
      <c r="F20" s="5"/>
      <c r="G20" s="5">
        <f t="shared" ref="G20" si="4">$K20*$E$13/($B$13+$E$13+$H$13)</f>
        <v>736.60714285714289</v>
      </c>
      <c r="H20" s="5"/>
      <c r="I20" s="5"/>
      <c r="J20" s="5">
        <f>$K20*$H$13/($B$13+$E$13+$H$13)</f>
        <v>843.75</v>
      </c>
      <c r="K20" s="5">
        <f>2000</f>
        <v>2000</v>
      </c>
    </row>
    <row r="21" spans="1:11" x14ac:dyDescent="0.35">
      <c r="A21" s="5" t="s">
        <v>47</v>
      </c>
      <c r="B21" s="5"/>
      <c r="C21" s="5"/>
      <c r="D21" s="5">
        <f>$K21*$B$14/($B$14+$E$14+$H$14)</f>
        <v>470.94188376753505</v>
      </c>
      <c r="E21" s="5"/>
      <c r="F21" s="5"/>
      <c r="G21" s="5">
        <f>$K21*$E$14/($B$14+$E$14+$H$14)</f>
        <v>771.54308617234472</v>
      </c>
      <c r="H21" s="5"/>
      <c r="I21" s="5"/>
      <c r="J21" s="5">
        <f>$K21*$H$14/($B$14+$E$14+$H$14)</f>
        <v>757.51503006012024</v>
      </c>
      <c r="K21" s="5">
        <v>2000</v>
      </c>
    </row>
    <row r="22" spans="1:11" x14ac:dyDescent="0.35">
      <c r="A22" s="2" t="s">
        <v>41</v>
      </c>
      <c r="B22" s="2">
        <f>B6</f>
        <v>47</v>
      </c>
      <c r="C22" s="8">
        <f>D22/B22</f>
        <v>2068.0907350415118</v>
      </c>
      <c r="D22" s="8">
        <f>SUM(D11:D21)</f>
        <v>97200.264546951046</v>
      </c>
      <c r="E22" s="2">
        <f>C6</f>
        <v>55</v>
      </c>
      <c r="F22" s="8">
        <f>G22/E22</f>
        <v>3532.3314933438301</v>
      </c>
      <c r="G22" s="8">
        <f>SUM(G11:G21)</f>
        <v>194278.23213391064</v>
      </c>
      <c r="H22" s="2">
        <f>D6</f>
        <v>27</v>
      </c>
      <c r="I22" s="8">
        <f>J22/H22</f>
        <v>8279.6853081162335</v>
      </c>
      <c r="J22" s="8">
        <f>SUM(J11:J21)</f>
        <v>223551.50331913828</v>
      </c>
      <c r="K22" s="2"/>
    </row>
    <row r="24" spans="1:11" x14ac:dyDescent="0.35">
      <c r="A24" s="26" t="s">
        <v>40</v>
      </c>
      <c r="B24" s="26"/>
      <c r="C24" s="26"/>
      <c r="D24" s="26"/>
      <c r="E24" s="26"/>
      <c r="F24" s="26"/>
      <c r="G24" s="26"/>
      <c r="H24" s="26"/>
      <c r="I24" s="26"/>
      <c r="J24" s="26"/>
    </row>
    <row r="25" spans="1:11" x14ac:dyDescent="0.35">
      <c r="A25" s="2"/>
      <c r="B25" s="2" t="s">
        <v>16</v>
      </c>
      <c r="C25" s="2" t="s">
        <v>11</v>
      </c>
      <c r="D25" s="2" t="s">
        <v>12</v>
      </c>
      <c r="E25" s="2" t="s">
        <v>16</v>
      </c>
      <c r="F25" s="2" t="s">
        <v>11</v>
      </c>
      <c r="G25" s="2" t="s">
        <v>12</v>
      </c>
      <c r="H25" s="2" t="s">
        <v>16</v>
      </c>
      <c r="I25" s="2" t="s">
        <v>11</v>
      </c>
      <c r="J25" s="2" t="s">
        <v>12</v>
      </c>
    </row>
    <row r="26" spans="1:11" x14ac:dyDescent="0.35">
      <c r="A26" s="2" t="s">
        <v>48</v>
      </c>
      <c r="B26" s="17">
        <f>B5</f>
        <v>14.333333333333334</v>
      </c>
      <c r="C26" s="18">
        <v>2018.57</v>
      </c>
      <c r="D26" s="19">
        <f>C26*B26</f>
        <v>28932.836666666666</v>
      </c>
      <c r="E26" s="17">
        <f>C5</f>
        <v>16.666666666666668</v>
      </c>
      <c r="F26" s="18">
        <v>3645.93</v>
      </c>
      <c r="G26" s="19">
        <f>F26*E26</f>
        <v>60765.5</v>
      </c>
      <c r="H26" s="17">
        <f>D5</f>
        <v>5.333333333333333</v>
      </c>
      <c r="I26" s="18">
        <v>8694.27</v>
      </c>
      <c r="J26" s="19">
        <f>I26*H26</f>
        <v>46369.440000000002</v>
      </c>
    </row>
    <row r="27" spans="1:11" x14ac:dyDescent="0.35">
      <c r="A27" s="2" t="s">
        <v>49</v>
      </c>
      <c r="B27" s="2">
        <f>B22</f>
        <v>47</v>
      </c>
      <c r="C27" s="10">
        <f t="shared" ref="C27:J27" si="5">C22</f>
        <v>2068.0907350415118</v>
      </c>
      <c r="D27" s="10">
        <f t="shared" si="5"/>
        <v>97200.264546951046</v>
      </c>
      <c r="E27" s="2">
        <f t="shared" si="5"/>
        <v>55</v>
      </c>
      <c r="F27" s="10">
        <f t="shared" si="5"/>
        <v>3532.3314933438301</v>
      </c>
      <c r="G27" s="10">
        <f t="shared" si="5"/>
        <v>194278.23213391064</v>
      </c>
      <c r="H27" s="2">
        <f t="shared" si="5"/>
        <v>27</v>
      </c>
      <c r="I27" s="10">
        <f t="shared" si="5"/>
        <v>8279.6853081162335</v>
      </c>
      <c r="J27" s="10">
        <f t="shared" si="5"/>
        <v>223551.50331913828</v>
      </c>
    </row>
    <row r="28" spans="1:11" x14ac:dyDescent="0.35">
      <c r="A28" s="2" t="s">
        <v>50</v>
      </c>
      <c r="B28" s="2">
        <f>B27+B26</f>
        <v>61.333333333333336</v>
      </c>
      <c r="C28" s="8">
        <f>D28/B28</f>
        <v>2056.5179545698538</v>
      </c>
      <c r="D28" s="5">
        <f>D27+D26</f>
        <v>126133.10121361772</v>
      </c>
      <c r="E28" s="5">
        <f t="shared" ref="E28:J28" si="6">E27+E26</f>
        <v>71.666666666666671</v>
      </c>
      <c r="F28" s="8">
        <f>G28/E28</f>
        <v>3558.7497507057296</v>
      </c>
      <c r="G28" s="5">
        <f t="shared" si="6"/>
        <v>255043.73213391064</v>
      </c>
      <c r="H28" s="5">
        <f t="shared" si="6"/>
        <v>32.333333333333336</v>
      </c>
      <c r="I28" s="8">
        <f>J28/H28</f>
        <v>8348.0704119321108</v>
      </c>
      <c r="J28" s="5">
        <f t="shared" si="6"/>
        <v>269920.94331913826</v>
      </c>
    </row>
    <row r="29" spans="1:11" x14ac:dyDescent="0.35">
      <c r="A29" s="2" t="s">
        <v>51</v>
      </c>
      <c r="B29" s="2">
        <f>B3</f>
        <v>30</v>
      </c>
      <c r="C29" s="8">
        <f>C28</f>
        <v>2056.5179545698538</v>
      </c>
      <c r="D29" s="8">
        <f>C29*B29</f>
        <v>61695.538637095611</v>
      </c>
      <c r="E29" s="2">
        <f>C3</f>
        <v>35</v>
      </c>
      <c r="F29" s="8">
        <f>F28</f>
        <v>3558.7497507057296</v>
      </c>
      <c r="G29" s="8">
        <f>F29*E29</f>
        <v>124556.24127470054</v>
      </c>
      <c r="H29" s="2">
        <f>D3</f>
        <v>16</v>
      </c>
      <c r="I29" s="8">
        <f>I28</f>
        <v>8348.0704119321108</v>
      </c>
      <c r="J29" s="8">
        <f>I29*H29</f>
        <v>133569.12659091377</v>
      </c>
    </row>
    <row r="30" spans="1:11" x14ac:dyDescent="0.35">
      <c r="A30" s="2" t="s">
        <v>52</v>
      </c>
      <c r="B30" s="2">
        <f>B28-B29</f>
        <v>31.333333333333336</v>
      </c>
      <c r="C30" s="8">
        <f>C29</f>
        <v>2056.5179545698538</v>
      </c>
      <c r="D30" s="8">
        <f>C30*B30</f>
        <v>64437.56257652209</v>
      </c>
      <c r="E30" s="2">
        <f>E28-E29</f>
        <v>36.666666666666671</v>
      </c>
      <c r="F30" s="8">
        <f>F29</f>
        <v>3558.7497507057296</v>
      </c>
      <c r="G30" s="8">
        <f>F30*E30</f>
        <v>130487.4908592101</v>
      </c>
      <c r="H30" s="2">
        <f>H28-H29</f>
        <v>16.333333333333336</v>
      </c>
      <c r="I30" s="8">
        <f>I29</f>
        <v>8348.0704119321108</v>
      </c>
      <c r="J30" s="8">
        <f>I30*H30</f>
        <v>136351.81672822448</v>
      </c>
    </row>
    <row r="32" spans="1:11" x14ac:dyDescent="0.35">
      <c r="A32" s="2"/>
      <c r="B32" s="24" t="s">
        <v>13</v>
      </c>
      <c r="C32" s="24"/>
      <c r="D32" s="24"/>
      <c r="E32" s="24" t="s">
        <v>14</v>
      </c>
      <c r="F32" s="24"/>
      <c r="G32" s="24"/>
      <c r="H32" s="24" t="s">
        <v>15</v>
      </c>
      <c r="I32" s="24"/>
      <c r="J32" s="24"/>
    </row>
    <row r="33" spans="1:11" x14ac:dyDescent="0.35">
      <c r="A33" s="2"/>
      <c r="B33" s="2" t="s">
        <v>16</v>
      </c>
      <c r="C33" s="2" t="s">
        <v>11</v>
      </c>
      <c r="D33" s="2" t="s">
        <v>12</v>
      </c>
      <c r="E33" s="2" t="s">
        <v>16</v>
      </c>
      <c r="F33" s="2" t="s">
        <v>11</v>
      </c>
      <c r="G33" s="2" t="s">
        <v>12</v>
      </c>
      <c r="H33" s="2" t="s">
        <v>16</v>
      </c>
      <c r="I33" s="2" t="s">
        <v>11</v>
      </c>
      <c r="J33" s="2" t="s">
        <v>12</v>
      </c>
    </row>
    <row r="34" spans="1:11" x14ac:dyDescent="0.35">
      <c r="A34" s="2" t="s">
        <v>41</v>
      </c>
      <c r="B34" s="2">
        <f>B29</f>
        <v>30</v>
      </c>
      <c r="C34" s="9">
        <f t="shared" ref="C34:I34" si="7">C29</f>
        <v>2056.5179545698538</v>
      </c>
      <c r="D34" s="8">
        <f t="shared" si="7"/>
        <v>61695.538637095611</v>
      </c>
      <c r="E34" s="2">
        <f t="shared" si="7"/>
        <v>35</v>
      </c>
      <c r="F34" s="8">
        <f t="shared" si="7"/>
        <v>3558.7497507057296</v>
      </c>
      <c r="G34" s="8">
        <f t="shared" si="7"/>
        <v>124556.24127470054</v>
      </c>
      <c r="H34" s="2">
        <f t="shared" si="7"/>
        <v>16</v>
      </c>
      <c r="I34" s="8">
        <f t="shared" si="7"/>
        <v>8348.0704119321108</v>
      </c>
      <c r="J34" s="8">
        <f>J29</f>
        <v>133569.12659091377</v>
      </c>
    </row>
    <row r="35" spans="1:11" x14ac:dyDescent="0.35">
      <c r="A35" s="2" t="s">
        <v>53</v>
      </c>
      <c r="B35" s="2">
        <f>3000*B29</f>
        <v>90000</v>
      </c>
      <c r="C35" s="22">
        <v>0.08</v>
      </c>
      <c r="D35" s="5">
        <f>C35*B35</f>
        <v>7200</v>
      </c>
      <c r="E35" s="2">
        <f>E29*9000</f>
        <v>315000</v>
      </c>
      <c r="F35" s="22">
        <v>0.08</v>
      </c>
      <c r="G35" s="5">
        <f>F35*E35</f>
        <v>25200</v>
      </c>
      <c r="H35" s="2">
        <f>H29*22000</f>
        <v>352000</v>
      </c>
      <c r="I35" s="22">
        <v>0.08</v>
      </c>
      <c r="J35" s="5">
        <f>I35*H35</f>
        <v>28160</v>
      </c>
    </row>
    <row r="36" spans="1:11" x14ac:dyDescent="0.35">
      <c r="A36" s="2" t="s">
        <v>54</v>
      </c>
      <c r="B36" s="2"/>
      <c r="C36" s="2"/>
      <c r="D36" s="5">
        <v>1000</v>
      </c>
      <c r="E36" s="2"/>
      <c r="F36" s="2"/>
      <c r="G36" s="5">
        <v>1200</v>
      </c>
      <c r="H36" s="2"/>
      <c r="I36" s="2"/>
      <c r="J36" s="5">
        <v>5000</v>
      </c>
    </row>
    <row r="37" spans="1:11" x14ac:dyDescent="0.35">
      <c r="A37" s="6" t="s">
        <v>39</v>
      </c>
      <c r="B37" s="6"/>
      <c r="C37" s="6"/>
      <c r="D37" s="7"/>
      <c r="E37" s="6"/>
      <c r="F37" s="6"/>
      <c r="G37" s="7"/>
      <c r="H37" s="6"/>
      <c r="I37" s="6"/>
      <c r="J37" s="7"/>
    </row>
    <row r="38" spans="1:11" x14ac:dyDescent="0.35">
      <c r="A38" s="5" t="s">
        <v>55</v>
      </c>
      <c r="B38" s="5"/>
      <c r="C38" s="5"/>
      <c r="D38" s="5">
        <f>$K38*B35/($B$35+$E$35+$H$35)</f>
        <v>5347.5931307793917</v>
      </c>
      <c r="E38" s="5"/>
      <c r="F38" s="5"/>
      <c r="G38" s="5">
        <f>$K38*$E$35/($E$35+$B$35+$H$35)</f>
        <v>18716.575957727873</v>
      </c>
      <c r="H38" s="5"/>
      <c r="I38" s="5"/>
      <c r="J38" s="5">
        <f>$K38*$H$35/($H$35+$E$35+$B$35)</f>
        <v>20915.030911492733</v>
      </c>
      <c r="K38" s="23">
        <f>(10*1.1*1280+2.4*4*1280+1280*1*4.5)*1.4</f>
        <v>44979.199999999997</v>
      </c>
    </row>
    <row r="39" spans="1:11" x14ac:dyDescent="0.35">
      <c r="A39" s="5" t="s">
        <v>25</v>
      </c>
      <c r="B39" s="5"/>
      <c r="C39" s="5"/>
      <c r="D39" s="5">
        <f>$K39*B$35/($B$35+$E$35+$H$35)</f>
        <v>2021.1360634081902</v>
      </c>
      <c r="E39" s="5"/>
      <c r="F39" s="5"/>
      <c r="G39" s="5">
        <f>$K39*$E$35/($E$35+$B$35+$H$35)</f>
        <v>7073.9762219286658</v>
      </c>
      <c r="H39" s="5"/>
      <c r="I39" s="5"/>
      <c r="J39" s="5">
        <f t="shared" ref="J39:J40" si="8">$K39*$H$35/($H$35+$E$35+$B$35)</f>
        <v>7904.8877146631439</v>
      </c>
      <c r="K39" s="23">
        <v>17000</v>
      </c>
    </row>
    <row r="40" spans="1:11" x14ac:dyDescent="0.35">
      <c r="A40" s="5" t="s">
        <v>56</v>
      </c>
      <c r="B40" s="5"/>
      <c r="C40" s="5"/>
      <c r="D40" s="5">
        <f>$K40*B$35/($B$35+$E$35+$H$35)</f>
        <v>2556.6182298546896</v>
      </c>
      <c r="E40" s="5"/>
      <c r="F40" s="5"/>
      <c r="G40" s="5">
        <f t="shared" ref="G40:G41" si="9">$K40*$E$35/($E$35+$B$35+$H$35)</f>
        <v>8948.1638044914143</v>
      </c>
      <c r="H40" s="5"/>
      <c r="I40" s="5"/>
      <c r="J40" s="5">
        <f t="shared" si="8"/>
        <v>9999.2179656538974</v>
      </c>
      <c r="K40" s="23">
        <f>12*1280*1.4</f>
        <v>21504</v>
      </c>
    </row>
    <row r="41" spans="1:11" x14ac:dyDescent="0.35">
      <c r="A41" s="5" t="s">
        <v>57</v>
      </c>
      <c r="B41" s="5"/>
      <c r="C41" s="5"/>
      <c r="D41" s="5">
        <f t="shared" ref="D41" si="10">$K41*B$35/($B$35+$E$35+$H$35)</f>
        <v>2140.0264200792603</v>
      </c>
      <c r="E41" s="5"/>
      <c r="F41" s="5"/>
      <c r="G41" s="5">
        <f t="shared" si="9"/>
        <v>7490.0924702774109</v>
      </c>
      <c r="H41" s="5"/>
      <c r="I41" s="5"/>
      <c r="J41" s="5">
        <f>$K41*$H$35/($H$35+$E$35+$B$35)</f>
        <v>8369.8811096433292</v>
      </c>
      <c r="K41" s="23">
        <v>18000</v>
      </c>
    </row>
    <row r="42" spans="1:11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1" x14ac:dyDescent="0.35">
      <c r="A43" s="2" t="s">
        <v>58</v>
      </c>
      <c r="B43" s="2">
        <f>B3</f>
        <v>30</v>
      </c>
      <c r="C43" s="8">
        <f>D43/B43</f>
        <v>2732.0304160405717</v>
      </c>
      <c r="D43" s="8">
        <f>SUM(D34:D42)</f>
        <v>81960.91248121715</v>
      </c>
      <c r="E43" s="2">
        <f>C3</f>
        <v>35</v>
      </c>
      <c r="F43" s="8">
        <f>G43/E43</f>
        <v>5519.5728494035984</v>
      </c>
      <c r="G43" s="8">
        <f>SUM(G34:G42)</f>
        <v>193185.04972912595</v>
      </c>
      <c r="H43" s="2">
        <f>D3</f>
        <v>16</v>
      </c>
      <c r="I43" s="8">
        <f>J43/H43</f>
        <v>13369.884018272929</v>
      </c>
      <c r="J43" s="8">
        <f>SUM(J34:J42)</f>
        <v>213918.14429236687</v>
      </c>
    </row>
    <row r="45" spans="1:11" x14ac:dyDescent="0.35">
      <c r="A45" s="11" t="s">
        <v>7</v>
      </c>
      <c r="B45" s="2">
        <v>30</v>
      </c>
      <c r="C45" s="2">
        <v>3000</v>
      </c>
      <c r="D45" s="2">
        <f>C45*B45</f>
        <v>90000</v>
      </c>
      <c r="E45" s="2">
        <v>35</v>
      </c>
      <c r="F45" s="2">
        <v>9000</v>
      </c>
      <c r="G45" s="2">
        <f>F45*E45</f>
        <v>315000</v>
      </c>
      <c r="H45" s="2">
        <v>16</v>
      </c>
      <c r="I45" s="2">
        <v>22000</v>
      </c>
      <c r="J45" s="2">
        <f>I45*H45</f>
        <v>352000</v>
      </c>
    </row>
    <row r="46" spans="1:11" x14ac:dyDescent="0.35">
      <c r="A46" s="11" t="s">
        <v>27</v>
      </c>
      <c r="B46" s="2">
        <f>B45</f>
        <v>30</v>
      </c>
      <c r="C46" s="8">
        <f>C45-C43</f>
        <v>267.96958395942829</v>
      </c>
      <c r="D46" s="8">
        <f>D45-D43</f>
        <v>8039.0875187828497</v>
      </c>
      <c r="E46" s="2">
        <f>E45</f>
        <v>35</v>
      </c>
      <c r="F46" s="8">
        <f>F45-F43</f>
        <v>3480.4271505964016</v>
      </c>
      <c r="G46" s="8">
        <f>G45-G43</f>
        <v>121814.95027087405</v>
      </c>
      <c r="H46" s="2">
        <f>H45</f>
        <v>16</v>
      </c>
      <c r="I46" s="8">
        <f>I45-I43</f>
        <v>8630.1159817270709</v>
      </c>
      <c r="J46" s="8">
        <f>J45-J43</f>
        <v>138081.85570763313</v>
      </c>
    </row>
    <row r="48" spans="1:11" x14ac:dyDescent="0.35">
      <c r="B48" t="s">
        <v>59</v>
      </c>
    </row>
    <row r="49" spans="2:2" x14ac:dyDescent="0.35">
      <c r="B49" t="s">
        <v>60</v>
      </c>
    </row>
  </sheetData>
  <mergeCells count="7">
    <mergeCell ref="A24:J24"/>
    <mergeCell ref="B32:D32"/>
    <mergeCell ref="E32:G32"/>
    <mergeCell ref="H32:J32"/>
    <mergeCell ref="B8:D8"/>
    <mergeCell ref="E8:G8"/>
    <mergeCell ref="H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Partie 1</vt:lpstr>
      <vt:lpstr>Partie 2</vt:lpstr>
      <vt:lpstr>Partie 3</vt:lpstr>
    </vt:vector>
  </TitlesOfParts>
  <Company>Universite de Montpellier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n.a.</dc:creator>
  <cp:lastModifiedBy>Guillaume DUMAS</cp:lastModifiedBy>
  <cp:lastPrinted>2023-10-12T07:12:49Z</cp:lastPrinted>
  <dcterms:created xsi:type="dcterms:W3CDTF">2023-10-04T12:13:01Z</dcterms:created>
  <dcterms:modified xsi:type="dcterms:W3CDTF">2025-10-02T08:28:01Z</dcterms:modified>
</cp:coreProperties>
</file>