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H\Documents\COURS\Master_IAE\Promotion_2022-2023\"/>
    </mc:Choice>
  </mc:AlternateContent>
  <xr:revisionPtr revIDLastSave="0" documentId="13_ncr:1_{3C739304-DE1B-4EAA-B4BA-FCA8D32EF913}" xr6:coauthVersionLast="36" xr6:coauthVersionMax="36" xr10:uidLastSave="{00000000-0000-0000-0000-000000000000}"/>
  <bookViews>
    <workbookView xWindow="600" yWindow="600" windowWidth="23232" windowHeight="9480" xr2:uid="{00000000-000D-0000-FFFF-FFFF00000000}"/>
  </bookViews>
  <sheets>
    <sheet name="Corrigé" sheetId="1" r:id="rId1"/>
    <sheet name="Notes" sheetId="2" r:id="rId2"/>
  </sheets>
  <calcPr calcId="191029"/>
</workbook>
</file>

<file path=xl/calcChain.xml><?xml version="1.0" encoding="utf-8"?>
<calcChain xmlns="http://schemas.openxmlformats.org/spreadsheetml/2006/main">
  <c r="F18" i="2" l="1"/>
  <c r="G18" i="2"/>
  <c r="H18" i="2"/>
  <c r="I18" i="2"/>
  <c r="J18" i="2"/>
  <c r="K18" i="2"/>
  <c r="L18" i="2"/>
  <c r="M18" i="2"/>
  <c r="N18" i="2"/>
  <c r="E18" i="2"/>
  <c r="C25" i="2"/>
  <c r="C24" i="2"/>
  <c r="C23" i="2"/>
  <c r="C22" i="2"/>
  <c r="C21" i="2"/>
  <c r="C20" i="2"/>
  <c r="C7" i="2"/>
  <c r="C8" i="2"/>
  <c r="C9" i="2"/>
  <c r="C10" i="2"/>
  <c r="C11" i="2"/>
  <c r="C12" i="2"/>
  <c r="C13" i="2"/>
  <c r="C14" i="2"/>
  <c r="C15" i="2"/>
  <c r="C16" i="2"/>
  <c r="C17" i="2"/>
  <c r="C6" i="2"/>
  <c r="F184" i="1" l="1"/>
  <c r="H136" i="1" l="1"/>
  <c r="C178" i="1" l="1"/>
  <c r="C180" i="1" s="1"/>
  <c r="F189" i="1"/>
  <c r="F185" i="1"/>
  <c r="C152" i="1"/>
  <c r="D152" i="1"/>
  <c r="G136" i="1"/>
  <c r="F136" i="1"/>
  <c r="I122" i="1"/>
  <c r="I132" i="1" s="1"/>
  <c r="D132" i="1"/>
  <c r="F132" i="1" s="1"/>
  <c r="D126" i="1"/>
  <c r="D127" i="1"/>
  <c r="F127" i="1" s="1"/>
  <c r="D128" i="1"/>
  <c r="F128" i="1" s="1"/>
  <c r="D129" i="1"/>
  <c r="F129" i="1" s="1"/>
  <c r="D130" i="1"/>
  <c r="F130" i="1" s="1"/>
  <c r="D131" i="1"/>
  <c r="F131" i="1" s="1"/>
  <c r="D125" i="1"/>
  <c r="F125" i="1" s="1"/>
  <c r="G113" i="1"/>
  <c r="C111" i="1"/>
  <c r="G111" i="1" s="1"/>
  <c r="I115" i="1" s="1"/>
  <c r="N117" i="1"/>
  <c r="H105" i="1"/>
  <c r="H104" i="1"/>
  <c r="C103" i="1"/>
  <c r="G105" i="1"/>
  <c r="G104" i="1"/>
  <c r="J92" i="1"/>
  <c r="J91" i="1" s="1"/>
  <c r="J90" i="1" s="1"/>
  <c r="J89" i="1" s="1"/>
  <c r="J88" i="1" s="1"/>
  <c r="J87" i="1" s="1"/>
  <c r="J86" i="1" s="1"/>
  <c r="J85" i="1" s="1"/>
  <c r="J84" i="1" s="1"/>
  <c r="J83" i="1" s="1"/>
  <c r="J82" i="1" s="1"/>
  <c r="J81" i="1" s="1"/>
  <c r="J80" i="1" s="1"/>
  <c r="I80" i="1"/>
  <c r="I81" i="1" s="1"/>
  <c r="F191" i="1" l="1"/>
  <c r="F192" i="1" s="1"/>
  <c r="I128" i="1"/>
  <c r="I125" i="1"/>
  <c r="H106" i="1"/>
  <c r="I131" i="1"/>
  <c r="I126" i="1"/>
  <c r="I130" i="1"/>
  <c r="I129" i="1"/>
  <c r="F126" i="1"/>
  <c r="G126" i="1" s="1"/>
  <c r="H126" i="1" s="1"/>
  <c r="I127" i="1"/>
  <c r="G131" i="1"/>
  <c r="H131" i="1" s="1"/>
  <c r="G132" i="1"/>
  <c r="H132" i="1" s="1"/>
  <c r="G130" i="1"/>
  <c r="H130" i="1" s="1"/>
  <c r="G129" i="1"/>
  <c r="H129" i="1" s="1"/>
  <c r="G128" i="1"/>
  <c r="H128" i="1" s="1"/>
  <c r="G127" i="1"/>
  <c r="H127" i="1" s="1"/>
  <c r="F135" i="1"/>
  <c r="G125" i="1"/>
  <c r="H125" i="1" s="1"/>
  <c r="I82" i="1"/>
  <c r="K81" i="1"/>
  <c r="K80" i="1"/>
  <c r="I135" i="1" l="1"/>
  <c r="C138" i="1" s="1"/>
  <c r="G135" i="1"/>
  <c r="H135" i="1" s="1"/>
  <c r="I83" i="1"/>
  <c r="K82" i="1"/>
  <c r="C139" i="1" l="1"/>
  <c r="C140" i="1"/>
  <c r="I84" i="1"/>
  <c r="K83" i="1"/>
  <c r="G102" i="1"/>
  <c r="F159" i="1"/>
  <c r="F160" i="1" s="1"/>
  <c r="G160" i="1"/>
  <c r="F165" i="1"/>
  <c r="H158" i="1"/>
  <c r="F166" i="1" l="1"/>
  <c r="H166" i="1" s="1"/>
  <c r="J166" i="1" s="1"/>
  <c r="H165" i="1"/>
  <c r="J165" i="1" s="1"/>
  <c r="G163" i="1"/>
  <c r="G167" i="1" s="1"/>
  <c r="F161" i="1"/>
  <c r="H161" i="1" s="1"/>
  <c r="J161" i="1" s="1"/>
  <c r="H160" i="1"/>
  <c r="F162" i="1"/>
  <c r="I106" i="1"/>
  <c r="I85" i="1"/>
  <c r="K84" i="1"/>
  <c r="H159" i="1"/>
  <c r="J159" i="1" s="1"/>
  <c r="F167" i="1"/>
  <c r="C116" i="1"/>
  <c r="F164" i="1" l="1"/>
  <c r="H164" i="1" s="1"/>
  <c r="H162" i="1"/>
  <c r="J162" i="1" s="1"/>
  <c r="H167" i="1"/>
  <c r="J167" i="1" s="1"/>
  <c r="F163" i="1"/>
  <c r="H163" i="1" s="1"/>
  <c r="I86" i="1"/>
  <c r="K85" i="1"/>
  <c r="J160" i="1"/>
  <c r="J163" i="1" l="1"/>
  <c r="J164" i="1"/>
  <c r="K86" i="1"/>
  <c r="I87" i="1"/>
  <c r="J169" i="1" l="1"/>
  <c r="H172" i="1" s="1"/>
  <c r="H169" i="1"/>
  <c r="I88" i="1"/>
  <c r="K87" i="1"/>
  <c r="I89" i="1" l="1"/>
  <c r="K88" i="1"/>
  <c r="I90" i="1" l="1"/>
  <c r="K89" i="1"/>
  <c r="I91" i="1" l="1"/>
  <c r="K90" i="1"/>
  <c r="I92" i="1" l="1"/>
  <c r="K92" i="1" s="1"/>
  <c r="K91" i="1"/>
</calcChain>
</file>

<file path=xl/sharedStrings.xml><?xml version="1.0" encoding="utf-8"?>
<sst xmlns="http://schemas.openxmlformats.org/spreadsheetml/2006/main" count="284" uniqueCount="185">
  <si>
    <t>X</t>
  </si>
  <si>
    <t>Action X       14:00:35</t>
  </si>
  <si>
    <t>ACHAT</t>
  </si>
  <si>
    <t>VENTE</t>
  </si>
  <si>
    <t>Quantité</t>
  </si>
  <si>
    <t>Cours</t>
  </si>
  <si>
    <t>Action X       13:58:34</t>
  </si>
  <si>
    <t>Action X       13:58:31</t>
  </si>
  <si>
    <t>Action X       13:58:11</t>
  </si>
  <si>
    <t>Qté Achat</t>
  </si>
  <si>
    <t>Qté Vente</t>
  </si>
  <si>
    <t>TRI</t>
  </si>
  <si>
    <t>EUR-USD</t>
  </si>
  <si>
    <t>Mon-Dev Fwd 6</t>
  </si>
  <si>
    <t>Mon-Dev Spot</t>
  </si>
  <si>
    <t>2,50 - 2,55</t>
  </si>
  <si>
    <t>Vo</t>
  </si>
  <si>
    <t>n</t>
  </si>
  <si>
    <t>r</t>
  </si>
  <si>
    <t>i</t>
  </si>
  <si>
    <t>Flux</t>
  </si>
  <si>
    <t>rbt</t>
  </si>
  <si>
    <t>int</t>
  </si>
  <si>
    <t>Interpolation</t>
  </si>
  <si>
    <t>Σ↓ Achats</t>
  </si>
  <si>
    <t>Σ↑ Ventes</t>
  </si>
  <si>
    <t>Ecart Absolu</t>
  </si>
  <si>
    <t>Action X       14:00:40</t>
  </si>
  <si>
    <t>Action X       14:00:43</t>
  </si>
  <si>
    <t>Action X       14:00:50</t>
  </si>
  <si>
    <t>Préciser le BID-ASK en meilleure limite à 14:00:50  sachant que 3 ordres ont été passés</t>
  </si>
  <si>
    <t>mis en carnet</t>
  </si>
  <si>
    <t>AC</t>
  </si>
  <si>
    <t>10 ans</t>
  </si>
  <si>
    <t>13 ans</t>
  </si>
  <si>
    <t>17 ans</t>
  </si>
  <si>
    <t>€</t>
  </si>
  <si>
    <t>$</t>
  </si>
  <si>
    <t>t</t>
  </si>
  <si>
    <t>baril</t>
  </si>
  <si>
    <t>once</t>
  </si>
  <si>
    <t>l</t>
  </si>
  <si>
    <t>WTI</t>
  </si>
  <si>
    <t>kg</t>
  </si>
  <si>
    <t>2,40 - 2,50</t>
  </si>
  <si>
    <t>GBP-EUR</t>
  </si>
  <si>
    <t>EUR-GBP</t>
  </si>
  <si>
    <t>EUR-CHF</t>
  </si>
  <si>
    <t>CHF-USD</t>
  </si>
  <si>
    <t>USD-CHF</t>
  </si>
  <si>
    <t>USD-CAD</t>
  </si>
  <si>
    <t>GBP-CAD</t>
  </si>
  <si>
    <t>direct</t>
  </si>
  <si>
    <t>Test sur n</t>
  </si>
  <si>
    <t>Interpolation  ==&gt;</t>
  </si>
  <si>
    <t>litres</t>
  </si>
  <si>
    <t>grammes</t>
  </si>
  <si>
    <t xml:space="preserve"> </t>
  </si>
  <si>
    <t>Achat de 4 000 titres à 89€</t>
  </si>
  <si>
    <t>Achat de 10 000 titres à prix de marché (à tout prix)</t>
  </si>
  <si>
    <t>ordre éxécuté à 88€ (meilleure limite)</t>
  </si>
  <si>
    <t>9 650 titres achetés à 88€</t>
  </si>
  <si>
    <t>350 titres payés 89€</t>
  </si>
  <si>
    <t>14 600 titres vendus à 87€</t>
  </si>
  <si>
    <t>400 titres mis en carnet à 87€</t>
  </si>
  <si>
    <t>86 - 87</t>
  </si>
  <si>
    <t>86 - 88</t>
  </si>
  <si>
    <t>87 - 88</t>
  </si>
  <si>
    <t>87 - 89</t>
  </si>
  <si>
    <t>88 - 89</t>
  </si>
  <si>
    <t>ordre éxécuté partiellement</t>
  </si>
  <si>
    <t>Prix</t>
  </si>
  <si>
    <t>Achat de  2 800 titres à 88€</t>
  </si>
  <si>
    <t>Achat de 2 800 titres à 88€</t>
  </si>
  <si>
    <t>executé à 88€</t>
  </si>
  <si>
    <t>Vente de 9 870 titres à 89€</t>
  </si>
  <si>
    <t>Achat de 14 600 titres à 87€</t>
  </si>
  <si>
    <t>ELEMENTS DE CORRIGE CONTRÔLE M2 SIAD  2022-2023   du 26/09/22</t>
  </si>
  <si>
    <t>Q1</t>
  </si>
  <si>
    <t>Q2</t>
  </si>
  <si>
    <r>
      <t>Marché</t>
    </r>
    <r>
      <rPr>
        <vertAlign val="subscript"/>
        <sz val="9"/>
        <rFont val="Arial"/>
        <family val="2"/>
      </rPr>
      <t>A</t>
    </r>
  </si>
  <si>
    <r>
      <t>Marché</t>
    </r>
    <r>
      <rPr>
        <vertAlign val="subscript"/>
        <sz val="9"/>
        <rFont val="Arial"/>
        <family val="2"/>
      </rPr>
      <t>V</t>
    </r>
  </si>
  <si>
    <t>Cumul Achat</t>
  </si>
  <si>
    <t>Cumul Vente</t>
  </si>
  <si>
    <t>écart absolu</t>
  </si>
  <si>
    <t>PRIX</t>
  </si>
  <si>
    <t>QUANTITE</t>
  </si>
  <si>
    <t xml:space="preserve">Q3  :  Déterminer le prix et la quantité de fixing à partir des ordres réunis par limite de prix </t>
  </si>
  <si>
    <t>n =</t>
  </si>
  <si>
    <t xml:space="preserve">n = </t>
  </si>
  <si>
    <t>11 ans</t>
  </si>
  <si>
    <t>12 ans</t>
  </si>
  <si>
    <t>Q4  :  Donner la maturité d'un emprunt remboursé par AC  ?</t>
  </si>
  <si>
    <t>Q5 :  Donner le change spot en Mid GBP-CAD sachant</t>
  </si>
  <si>
    <t>USD-CAD 1,3585   EUR-GBP  0,8927   EUR-CHF   0,9514  et  USD-CHF   0,9811</t>
  </si>
  <si>
    <t>i =</t>
  </si>
  <si>
    <t>r =</t>
  </si>
  <si>
    <t>j</t>
  </si>
  <si>
    <t>j*Flux actu</t>
  </si>
  <si>
    <t>Duration</t>
  </si>
  <si>
    <t>j²*Flux actu</t>
  </si>
  <si>
    <t>Convexité</t>
  </si>
  <si>
    <t>d(1+r) =</t>
  </si>
  <si>
    <t>Flux actu</t>
  </si>
  <si>
    <t>Vo(r+dr)</t>
  </si>
  <si>
    <t>Vo(r )</t>
  </si>
  <si>
    <t>Plus-value réelle</t>
  </si>
  <si>
    <t>Plus-Value(Dur)</t>
  </si>
  <si>
    <t>Plus-Value(Dur&amp;Cvx)</t>
  </si>
  <si>
    <t xml:space="preserve">      (Vo(r+dr) - Vo(r ))/Vo(r )</t>
  </si>
  <si>
    <t xml:space="preserve">      -D * d(1+r) / (1+r)</t>
  </si>
  <si>
    <t xml:space="preserve">      -D * d(1+r) / (1+r) + Cvx/2 * [d(1+r) / (1+r)]²</t>
  </si>
  <si>
    <t>1,84% - 54</t>
  </si>
  <si>
    <t xml:space="preserve">variation du taux de marché = -0,30%       solution de la forme  +/- valuen en % ; Convexité  (Cvx en points)  </t>
  </si>
  <si>
    <t>-1,80% &amp; 320</t>
  </si>
  <si>
    <t>1,84% &amp; 54</t>
  </si>
  <si>
    <t>2,30% &amp; 42</t>
  </si>
  <si>
    <t>-0,90% &amp; 72</t>
  </si>
  <si>
    <t>3,90% &amp; 172</t>
  </si>
  <si>
    <t>avec formules</t>
  </si>
  <si>
    <t>Mon-Dev Fwd 4 mois  2,05 - 2,25 ,  Taux Mon à 4m   3,8% - 3,9%   et Taux Dev à 4m  3,2% - 3,6%</t>
  </si>
  <si>
    <t>Taux Mon 4m</t>
  </si>
  <si>
    <t>Taux Dev 4m</t>
  </si>
  <si>
    <t>2,06 - 2,25</t>
  </si>
  <si>
    <t>2,10 - 2,19</t>
  </si>
  <si>
    <t>2,05 - 2,30</t>
  </si>
  <si>
    <t>Q8  :  Donner le taux de rendement actuariel d'un emprunt remboursé en 3 tranches égales (2, 5 et 9)</t>
  </si>
  <si>
    <t>3 TR 2,5 &amp; 9</t>
  </si>
  <si>
    <t>maturité = n = 9 ans,  taux de coupon i = 6,00%  et prix de marché Vo = 104,43%</t>
  </si>
  <si>
    <t>si r=i = 6,00%  alors Vo = 100%</t>
  </si>
  <si>
    <t xml:space="preserve">Comme Vo &gt; 100% alors r &lt; i </t>
  </si>
  <si>
    <t>Q10 :  Donner la valeur en € de 450 000 litres de pétrole qualité WTI, 12Kg d'argent et 15 tonnes de cuivre</t>
  </si>
  <si>
    <t>Argent</t>
  </si>
  <si>
    <t>Cuivre T/$</t>
  </si>
  <si>
    <t>Taux Ref</t>
  </si>
  <si>
    <r>
      <t xml:space="preserve">Taux FRA  F </t>
    </r>
    <r>
      <rPr>
        <vertAlign val="subscript"/>
        <sz val="11"/>
        <color theme="1"/>
        <rFont val="Calibri"/>
        <family val="2"/>
        <scheme val="minor"/>
      </rPr>
      <t>1,3</t>
    </r>
  </si>
  <si>
    <t>Valeur FRA</t>
  </si>
  <si>
    <t>Q9 :  Donner le prix d'un FRA de 1 dans 2 pour un nominal de 190 millions d'€, si le taux constaté en t=2, est de 1,65% ?</t>
  </si>
  <si>
    <t>Structure des taux au comptant :  R1 = 1,50%     R2 = 1,60%      R3 = 1,80%</t>
  </si>
  <si>
    <t>Vente de 15 000 titres à 87€</t>
  </si>
  <si>
    <t xml:space="preserve">Préciser le BID (Qté-Prix) à la meilleure limite à 13:58:21 </t>
  </si>
  <si>
    <t>14 600 &amp; 87</t>
  </si>
  <si>
    <t>16 450 &amp; 88</t>
  </si>
  <si>
    <t>12 500 &amp; 86</t>
  </si>
  <si>
    <t>6 400 &amp; 89</t>
  </si>
  <si>
    <t>3 780 &amp; 85</t>
  </si>
  <si>
    <t>147,10 &amp; 1 550</t>
  </si>
  <si>
    <t>147,15 &amp; 260</t>
  </si>
  <si>
    <t>147,00 &amp; 1 010</t>
  </si>
  <si>
    <t>147,05 &amp; 1 220</t>
  </si>
  <si>
    <t>147,05 &amp; 1 550</t>
  </si>
  <si>
    <t xml:space="preserve"> taux de coupon i = 2,40%, taux de rendement r =  2,65% et prix Vo = 98,61%</t>
  </si>
  <si>
    <t>Q6 :  Calculer la +/- value (en %) et la convexité d'un emprunt In Fine sachant    n = 8 ans, taux de coupon i=6,55%, taux de rendement r = 6,68%</t>
  </si>
  <si>
    <t xml:space="preserve">Q7  :  Déterminer le change spot en BID-ASK des devises Mon-Dev à partir des informations suivantes :        </t>
  </si>
  <si>
    <t xml:space="preserve">test r = </t>
  </si>
  <si>
    <t>SENE Assane</t>
  </si>
  <si>
    <t>NOTE</t>
  </si>
  <si>
    <t>Q01</t>
  </si>
  <si>
    <t>Q02</t>
  </si>
  <si>
    <t>Q03</t>
  </si>
  <si>
    <t>Q04</t>
  </si>
  <si>
    <t>Q05</t>
  </si>
  <si>
    <t>Q06</t>
  </si>
  <si>
    <t>Q07</t>
  </si>
  <si>
    <t>Q08</t>
  </si>
  <si>
    <t>Q09</t>
  </si>
  <si>
    <t>Q10</t>
  </si>
  <si>
    <t>FOFANA Sikou</t>
  </si>
  <si>
    <t>LARCHEVEQUE Valentin</t>
  </si>
  <si>
    <t>BALSAN Thibault</t>
  </si>
  <si>
    <t>BOUARROUDJ Abdelmalek</t>
  </si>
  <si>
    <t>PRALON Nicolas</t>
  </si>
  <si>
    <t>CARVAILLO Thomas</t>
  </si>
  <si>
    <t>CHERY Fanny</t>
  </si>
  <si>
    <t>VALDEYRON Mathieu</t>
  </si>
  <si>
    <t>LUCEA Lenny</t>
  </si>
  <si>
    <t>EL KHMISSI Mohamed</t>
  </si>
  <si>
    <t>AIT MOULAY Abderrahim</t>
  </si>
  <si>
    <t>Effectif</t>
  </si>
  <si>
    <t>Moyenne</t>
  </si>
  <si>
    <t>Médiane</t>
  </si>
  <si>
    <t>Ecart type</t>
  </si>
  <si>
    <t>Min</t>
  </si>
  <si>
    <t>Max</t>
  </si>
  <si>
    <t>CONTRÔLE M2 SIAD  2022-2023   du 26/09/22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</si>
</sst>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00%"/>
    <numFmt numFmtId="166" formatCode="0.000"/>
    <numFmt numFmtId="167" formatCode="0.0000"/>
    <numFmt numFmtId="171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7.5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sz val="9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0" fillId="2" borderId="1" xfId="0" applyFill="1" applyBorder="1"/>
    <xf numFmtId="0" fontId="2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3" fillId="0" borderId="0" xfId="0" applyFont="1" applyAlignment="1">
      <alignment vertical="center"/>
    </xf>
    <xf numFmtId="0" fontId="4" fillId="3" borderId="0" xfId="0" applyFont="1" applyFill="1" applyAlignment="1">
      <alignment horizontal="right" vertical="center" wrapText="1"/>
    </xf>
    <xf numFmtId="0" fontId="0" fillId="3" borderId="0" xfId="0" applyFill="1"/>
    <xf numFmtId="0" fontId="5" fillId="3" borderId="0" xfId="0" applyFont="1" applyFill="1"/>
    <xf numFmtId="0" fontId="0" fillId="0" borderId="4" xfId="0" applyBorder="1"/>
    <xf numFmtId="0" fontId="0" fillId="0" borderId="0" xfId="0" applyBorder="1"/>
    <xf numFmtId="0" fontId="6" fillId="4" borderId="4" xfId="0" applyFont="1" applyFill="1" applyBorder="1" applyAlignment="1">
      <alignment horizontal="center"/>
    </xf>
    <xf numFmtId="0" fontId="0" fillId="0" borderId="0" xfId="0" quotePrefix="1"/>
    <xf numFmtId="2" fontId="0" fillId="3" borderId="0" xfId="0" applyNumberFormat="1" applyFill="1"/>
    <xf numFmtId="2" fontId="0" fillId="0" borderId="0" xfId="0" applyNumberFormat="1"/>
    <xf numFmtId="0" fontId="7" fillId="0" borderId="4" xfId="0" applyFont="1" applyBorder="1" applyAlignment="1">
      <alignment horizontal="center"/>
    </xf>
    <xf numFmtId="10" fontId="0" fillId="0" borderId="0" xfId="1" applyNumberFormat="1" applyFont="1"/>
    <xf numFmtId="10" fontId="0" fillId="0" borderId="0" xfId="0" applyNumberFormat="1"/>
    <xf numFmtId="0" fontId="8" fillId="0" borderId="0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2" fillId="3" borderId="0" xfId="0" applyFont="1" applyFill="1"/>
    <xf numFmtId="0" fontId="3" fillId="3" borderId="0" xfId="0" applyFont="1" applyFill="1" applyAlignment="1">
      <alignment vertical="center"/>
    </xf>
    <xf numFmtId="3" fontId="8" fillId="0" borderId="0" xfId="0" applyNumberFormat="1" applyFont="1" applyBorder="1" applyAlignment="1">
      <alignment horizontal="center"/>
    </xf>
    <xf numFmtId="21" fontId="0" fillId="3" borderId="0" xfId="0" applyNumberFormat="1" applyFill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21" fontId="0" fillId="0" borderId="0" xfId="0" applyNumberFormat="1"/>
    <xf numFmtId="0" fontId="0" fillId="3" borderId="0" xfId="0" applyFill="1" applyAlignment="1">
      <alignment horizontal="right" vertical="center" wrapText="1"/>
    </xf>
    <xf numFmtId="164" fontId="7" fillId="0" borderId="4" xfId="0" applyNumberFormat="1" applyFont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3" fontId="0" fillId="3" borderId="0" xfId="0" applyNumberFormat="1" applyFill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right" vertical="center" wrapText="1"/>
    </xf>
    <xf numFmtId="1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2" fillId="5" borderId="5" xfId="0" applyNumberFormat="1" applyFont="1" applyFill="1" applyBorder="1"/>
    <xf numFmtId="165" fontId="0" fillId="0" borderId="0" xfId="1" applyNumberFormat="1" applyFont="1"/>
    <xf numFmtId="10" fontId="2" fillId="5" borderId="5" xfId="1" applyNumberFormat="1" applyFont="1" applyFill="1" applyBorder="1"/>
    <xf numFmtId="0" fontId="9" fillId="0" borderId="0" xfId="0" applyFont="1"/>
    <xf numFmtId="3" fontId="0" fillId="0" borderId="0" xfId="0" applyNumberFormat="1"/>
    <xf numFmtId="2" fontId="0" fillId="0" borderId="0" xfId="0" applyNumberFormat="1" applyBorder="1"/>
    <xf numFmtId="0" fontId="8" fillId="0" borderId="0" xfId="0" applyFont="1" applyFill="1" applyBorder="1" applyAlignment="1">
      <alignment horizontal="left"/>
    </xf>
    <xf numFmtId="1" fontId="0" fillId="0" borderId="7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/>
    <xf numFmtId="4" fontId="7" fillId="0" borderId="4" xfId="0" applyNumberFormat="1" applyFont="1" applyBorder="1" applyAlignment="1">
      <alignment horizontal="center"/>
    </xf>
    <xf numFmtId="4" fontId="0" fillId="0" borderId="0" xfId="0" applyNumberFormat="1"/>
    <xf numFmtId="4" fontId="0" fillId="0" borderId="4" xfId="0" applyNumberFormat="1" applyBorder="1"/>
    <xf numFmtId="4" fontId="0" fillId="0" borderId="0" xfId="0" applyNumberFormat="1" applyBorder="1"/>
    <xf numFmtId="10" fontId="7" fillId="0" borderId="4" xfId="1" quotePrefix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2" fontId="0" fillId="0" borderId="12" xfId="0" applyNumberFormat="1" applyBorder="1"/>
    <xf numFmtId="0" fontId="0" fillId="0" borderId="13" xfId="0" applyBorder="1"/>
    <xf numFmtId="0" fontId="9" fillId="0" borderId="13" xfId="0" applyFont="1" applyBorder="1"/>
    <xf numFmtId="0" fontId="9" fillId="0" borderId="14" xfId="0" applyFon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167" fontId="0" fillId="0" borderId="0" xfId="0" applyNumberFormat="1"/>
    <xf numFmtId="167" fontId="0" fillId="0" borderId="0" xfId="0" applyNumberFormat="1" applyAlignment="1">
      <alignment horizontal="center"/>
    </xf>
    <xf numFmtId="10" fontId="2" fillId="5" borderId="0" xfId="1" applyNumberFormat="1" applyFont="1" applyFill="1"/>
    <xf numFmtId="166" fontId="2" fillId="5" borderId="1" xfId="0" applyNumberFormat="1" applyFont="1" applyFill="1" applyBorder="1" applyAlignment="1">
      <alignment horizontal="center"/>
    </xf>
    <xf numFmtId="166" fontId="2" fillId="5" borderId="3" xfId="0" applyNumberFormat="1" applyFont="1" applyFill="1" applyBorder="1" applyAlignment="1">
      <alignment horizontal="center"/>
    </xf>
    <xf numFmtId="0" fontId="2" fillId="5" borderId="0" xfId="0" applyFont="1" applyFill="1"/>
    <xf numFmtId="2" fontId="0" fillId="0" borderId="0" xfId="1" applyNumberFormat="1" applyFont="1"/>
    <xf numFmtId="1" fontId="2" fillId="0" borderId="0" xfId="0" applyNumberFormat="1" applyFont="1" applyAlignment="1">
      <alignment horizontal="center"/>
    </xf>
    <xf numFmtId="167" fontId="2" fillId="5" borderId="0" xfId="0" applyNumberFormat="1" applyFont="1" applyFill="1"/>
    <xf numFmtId="0" fontId="10" fillId="0" borderId="0" xfId="0" applyFont="1"/>
    <xf numFmtId="3" fontId="0" fillId="0" borderId="7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6" borderId="7" xfId="0" applyNumberFormat="1" applyFill="1" applyBorder="1"/>
    <xf numFmtId="1" fontId="2" fillId="7" borderId="7" xfId="0" applyNumberFormat="1" applyFont="1" applyFill="1" applyBorder="1" applyAlignment="1">
      <alignment horizontal="center"/>
    </xf>
    <xf numFmtId="3" fontId="0" fillId="7" borderId="7" xfId="0" applyNumberFormat="1" applyFill="1" applyBorder="1"/>
    <xf numFmtId="3" fontId="2" fillId="7" borderId="7" xfId="0" applyNumberFormat="1" applyFont="1" applyFill="1" applyBorder="1"/>
    <xf numFmtId="0" fontId="11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Fill="1"/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11" fillId="0" borderId="4" xfId="0" applyNumberFormat="1" applyFont="1" applyBorder="1" applyAlignment="1">
      <alignment horizontal="center"/>
    </xf>
    <xf numFmtId="4" fontId="14" fillId="5" borderId="5" xfId="0" applyNumberFormat="1" applyFont="1" applyFill="1" applyBorder="1" applyAlignment="1">
      <alignment horizontal="center"/>
    </xf>
    <xf numFmtId="4" fontId="2" fillId="5" borderId="5" xfId="0" applyNumberFormat="1" applyFont="1" applyFill="1" applyBorder="1" applyAlignment="1">
      <alignment horizontal="center"/>
    </xf>
    <xf numFmtId="3" fontId="2" fillId="5" borderId="5" xfId="0" applyNumberFormat="1" applyFont="1" applyFill="1" applyBorder="1" applyAlignment="1">
      <alignment horizontal="center"/>
    </xf>
    <xf numFmtId="0" fontId="2" fillId="8" borderId="0" xfId="0" applyFont="1" applyFill="1"/>
    <xf numFmtId="167" fontId="2" fillId="0" borderId="0" xfId="0" applyNumberFormat="1" applyFont="1" applyAlignment="1">
      <alignment horizontal="center"/>
    </xf>
    <xf numFmtId="167" fontId="2" fillId="5" borderId="0" xfId="0" applyNumberFormat="1" applyFont="1" applyFill="1" applyAlignment="1">
      <alignment horizontal="center"/>
    </xf>
    <xf numFmtId="0" fontId="0" fillId="0" borderId="0" xfId="1" applyNumberFormat="1" applyFont="1"/>
    <xf numFmtId="10" fontId="0" fillId="0" borderId="0" xfId="0" applyNumberFormat="1" applyFill="1"/>
    <xf numFmtId="0" fontId="2" fillId="0" borderId="5" xfId="0" applyFont="1" applyFill="1" applyBorder="1" applyAlignment="1">
      <alignment horizontal="center"/>
    </xf>
    <xf numFmtId="10" fontId="0" fillId="0" borderId="0" xfId="1" applyNumberFormat="1" applyFont="1" applyFill="1"/>
    <xf numFmtId="10" fontId="2" fillId="0" borderId="0" xfId="1" applyNumberFormat="1" applyFont="1" applyFill="1"/>
    <xf numFmtId="10" fontId="2" fillId="0" borderId="0" xfId="1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0" fontId="1" fillId="0" borderId="0" xfId="1" applyNumberFormat="1" applyFont="1" applyFill="1"/>
    <xf numFmtId="1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0" fontId="2" fillId="5" borderId="1" xfId="0" applyFont="1" applyFill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3" fontId="2" fillId="5" borderId="3" xfId="0" applyNumberFormat="1" applyFont="1" applyFill="1" applyBorder="1"/>
    <xf numFmtId="3" fontId="2" fillId="5" borderId="5" xfId="0" applyNumberFormat="1" applyFont="1" applyFill="1" applyBorder="1"/>
    <xf numFmtId="0" fontId="16" fillId="0" borderId="0" xfId="0" applyFont="1" applyAlignment="1">
      <alignment horizontal="center"/>
    </xf>
    <xf numFmtId="171" fontId="2" fillId="0" borderId="0" xfId="0" applyNumberFormat="1" applyFont="1" applyAlignment="1">
      <alignment horizontal="center"/>
    </xf>
    <xf numFmtId="171" fontId="17" fillId="0" borderId="0" xfId="0" applyNumberFormat="1" applyFont="1"/>
    <xf numFmtId="0" fontId="0" fillId="0" borderId="0" xfId="0" applyFill="1" applyBorder="1"/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8" fillId="0" borderId="0" xfId="0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541020</xdr:colOff>
          <xdr:row>126</xdr:row>
          <xdr:rowOff>83820</xdr:rowOff>
        </xdr:from>
        <xdr:to>
          <xdr:col>16</xdr:col>
          <xdr:colOff>411480</xdr:colOff>
          <xdr:row>129</xdr:row>
          <xdr:rowOff>175260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533400</xdr:colOff>
          <xdr:row>122</xdr:row>
          <xdr:rowOff>15240</xdr:rowOff>
        </xdr:from>
        <xdr:to>
          <xdr:col>16</xdr:col>
          <xdr:colOff>213360</xdr:colOff>
          <xdr:row>126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9</xdr:col>
      <xdr:colOff>441960</xdr:colOff>
      <xdr:row>130</xdr:row>
      <xdr:rowOff>144780</xdr:rowOff>
    </xdr:from>
    <xdr:to>
      <xdr:col>26</xdr:col>
      <xdr:colOff>632460</xdr:colOff>
      <xdr:row>135</xdr:row>
      <xdr:rowOff>159068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2280" y="24399240"/>
          <a:ext cx="8420100" cy="92868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18</xdr:col>
      <xdr:colOff>266064</xdr:colOff>
      <xdr:row>133</xdr:row>
      <xdr:rowOff>171052</xdr:rowOff>
    </xdr:from>
    <xdr:to>
      <xdr:col>19</xdr:col>
      <xdr:colOff>556260</xdr:colOff>
      <xdr:row>135</xdr:row>
      <xdr:rowOff>74661</xdr:rowOff>
    </xdr:to>
    <xdr:sp macro="" textlink="">
      <xdr:nvSpPr>
        <xdr:cNvPr id="7" name="ZoneText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911204" y="24974152"/>
          <a:ext cx="602616" cy="26936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r>
            <a:rPr lang="fr-FR" sz="1200"/>
            <a:t>+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92"/>
  <sheetViews>
    <sheetView tabSelected="1" workbookViewId="0">
      <selection sqref="A1:G1"/>
    </sheetView>
  </sheetViews>
  <sheetFormatPr baseColWidth="10" defaultRowHeight="14.4" x14ac:dyDescent="0.3"/>
  <cols>
    <col min="1" max="1" width="6.5546875" customWidth="1"/>
    <col min="2" max="2" width="15.5546875" customWidth="1"/>
    <col min="3" max="3" width="10" customWidth="1"/>
    <col min="5" max="5" width="4" customWidth="1"/>
    <col min="7" max="7" width="10.5546875" customWidth="1"/>
    <col min="11" max="11" width="6.109375" customWidth="1"/>
    <col min="12" max="12" width="3" customWidth="1"/>
    <col min="13" max="13" width="4.88671875" customWidth="1"/>
    <col min="15" max="16" width="4.5546875" customWidth="1"/>
    <col min="18" max="19" width="4.5546875" customWidth="1"/>
    <col min="21" max="22" width="4.5546875" customWidth="1"/>
    <col min="24" max="25" width="4.6640625" customWidth="1"/>
    <col min="28" max="28" width="9.6640625" customWidth="1"/>
    <col min="29" max="29" width="9.109375" customWidth="1"/>
    <col min="30" max="31" width="6.88671875" customWidth="1"/>
    <col min="32" max="32" width="9.5546875" customWidth="1"/>
    <col min="33" max="33" width="10.109375" customWidth="1"/>
    <col min="34" max="34" width="10.5546875" customWidth="1"/>
    <col min="35" max="35" width="11.5546875" customWidth="1"/>
    <col min="36" max="39" width="6.88671875" customWidth="1"/>
    <col min="40" max="40" width="9.109375" customWidth="1"/>
  </cols>
  <sheetData>
    <row r="1" spans="1:11" ht="15" thickBot="1" x14ac:dyDescent="0.35">
      <c r="A1" s="1"/>
      <c r="B1" s="2" t="s">
        <v>77</v>
      </c>
      <c r="C1" s="3"/>
      <c r="D1" s="3"/>
      <c r="E1" s="4"/>
      <c r="F1" s="4"/>
      <c r="G1" s="4"/>
    </row>
    <row r="2" spans="1:11" ht="15" thickBot="1" x14ac:dyDescent="0.35"/>
    <row r="3" spans="1:11" ht="15" thickBot="1" x14ac:dyDescent="0.35">
      <c r="C3" s="117" t="s">
        <v>1</v>
      </c>
      <c r="D3" s="118"/>
      <c r="E3" s="118"/>
      <c r="F3" s="118"/>
      <c r="G3" s="119"/>
    </row>
    <row r="4" spans="1:11" ht="15" thickBot="1" x14ac:dyDescent="0.35">
      <c r="C4" s="117" t="s">
        <v>2</v>
      </c>
      <c r="D4" s="120"/>
      <c r="E4" s="18"/>
      <c r="F4" s="117" t="s">
        <v>3</v>
      </c>
      <c r="G4" s="119"/>
    </row>
    <row r="5" spans="1:11" ht="15" thickBot="1" x14ac:dyDescent="0.35">
      <c r="C5" s="19" t="s">
        <v>4</v>
      </c>
      <c r="D5" s="20" t="s">
        <v>71</v>
      </c>
      <c r="E5" s="21"/>
      <c r="F5" s="19" t="s">
        <v>71</v>
      </c>
      <c r="G5" s="20" t="s">
        <v>4</v>
      </c>
    </row>
    <row r="6" spans="1:11" x14ac:dyDescent="0.3">
      <c r="C6" s="80">
        <v>14600</v>
      </c>
      <c r="D6" s="46">
        <v>87</v>
      </c>
      <c r="E6" s="49"/>
      <c r="F6" s="46">
        <v>88</v>
      </c>
      <c r="G6" s="80">
        <v>13650</v>
      </c>
    </row>
    <row r="7" spans="1:11" x14ac:dyDescent="0.3">
      <c r="C7" s="81">
        <v>12500</v>
      </c>
      <c r="D7" s="47">
        <v>86</v>
      </c>
      <c r="E7" s="50"/>
      <c r="F7" s="47">
        <v>89</v>
      </c>
      <c r="G7" s="81">
        <v>9870</v>
      </c>
    </row>
    <row r="8" spans="1:11" ht="15" thickBot="1" x14ac:dyDescent="0.35">
      <c r="C8" s="82">
        <v>3780</v>
      </c>
      <c r="D8" s="48">
        <v>85</v>
      </c>
      <c r="E8" s="50"/>
      <c r="F8" s="48">
        <v>90</v>
      </c>
      <c r="G8" s="82">
        <v>3000</v>
      </c>
    </row>
    <row r="10" spans="1:11" x14ac:dyDescent="0.3">
      <c r="A10" s="22" t="s">
        <v>78</v>
      </c>
      <c r="B10" s="23" t="s">
        <v>30</v>
      </c>
      <c r="C10" s="7"/>
      <c r="D10" s="7"/>
      <c r="E10" s="7"/>
      <c r="F10" s="7"/>
      <c r="G10" s="7"/>
      <c r="I10" s="24"/>
      <c r="J10" s="24"/>
      <c r="K10" s="24"/>
    </row>
    <row r="11" spans="1:11" x14ac:dyDescent="0.3">
      <c r="B11" s="25">
        <v>0.58378472222222222</v>
      </c>
      <c r="C11" s="7" t="s">
        <v>58</v>
      </c>
      <c r="D11" s="7"/>
      <c r="E11" s="7"/>
    </row>
    <row r="12" spans="1:11" ht="15" thickBot="1" x14ac:dyDescent="0.35"/>
    <row r="13" spans="1:11" ht="15" thickBot="1" x14ac:dyDescent="0.35">
      <c r="C13" s="117" t="s">
        <v>27</v>
      </c>
      <c r="D13" s="118"/>
      <c r="E13" s="118"/>
      <c r="F13" s="118"/>
      <c r="G13" s="119"/>
    </row>
    <row r="14" spans="1:11" ht="15" thickBot="1" x14ac:dyDescent="0.35">
      <c r="C14" s="117" t="s">
        <v>2</v>
      </c>
      <c r="D14" s="120"/>
      <c r="E14" s="18"/>
      <c r="F14" s="117" t="s">
        <v>3</v>
      </c>
      <c r="G14" s="119"/>
    </row>
    <row r="15" spans="1:11" ht="15" thickBot="1" x14ac:dyDescent="0.35">
      <c r="C15" s="19" t="s">
        <v>4</v>
      </c>
      <c r="D15" s="20" t="s">
        <v>71</v>
      </c>
      <c r="E15" s="21"/>
      <c r="F15" s="19" t="s">
        <v>71</v>
      </c>
      <c r="G15" s="20" t="s">
        <v>4</v>
      </c>
    </row>
    <row r="16" spans="1:11" x14ac:dyDescent="0.3">
      <c r="C16" s="80">
        <v>14600</v>
      </c>
      <c r="D16" s="46">
        <v>87</v>
      </c>
      <c r="E16" s="49"/>
      <c r="F16" s="46">
        <v>88</v>
      </c>
      <c r="G16" s="83">
        <v>9650</v>
      </c>
      <c r="I16" t="s">
        <v>60</v>
      </c>
    </row>
    <row r="17" spans="2:9" x14ac:dyDescent="0.3">
      <c r="C17" s="81">
        <v>12500</v>
      </c>
      <c r="D17" s="47">
        <v>86</v>
      </c>
      <c r="E17" s="50"/>
      <c r="F17" s="47">
        <v>89</v>
      </c>
      <c r="G17" s="81">
        <v>9870</v>
      </c>
    </row>
    <row r="18" spans="2:9" ht="15" thickBot="1" x14ac:dyDescent="0.35">
      <c r="C18" s="82">
        <v>3780</v>
      </c>
      <c r="D18" s="48">
        <v>85</v>
      </c>
      <c r="E18" s="50"/>
      <c r="F18" s="48">
        <v>90</v>
      </c>
      <c r="G18" s="82">
        <v>3000</v>
      </c>
    </row>
    <row r="20" spans="2:9" x14ac:dyDescent="0.3">
      <c r="B20" s="25">
        <v>0.58381944444444445</v>
      </c>
      <c r="C20" s="7" t="s">
        <v>59</v>
      </c>
      <c r="D20" s="7"/>
      <c r="E20" s="7"/>
    </row>
    <row r="21" spans="2:9" ht="15" thickBot="1" x14ac:dyDescent="0.35"/>
    <row r="22" spans="2:9" ht="15" thickBot="1" x14ac:dyDescent="0.35">
      <c r="C22" s="117" t="s">
        <v>28</v>
      </c>
      <c r="D22" s="118"/>
      <c r="E22" s="118"/>
      <c r="F22" s="118"/>
      <c r="G22" s="119"/>
    </row>
    <row r="23" spans="2:9" ht="15" thickBot="1" x14ac:dyDescent="0.35">
      <c r="C23" s="117" t="s">
        <v>2</v>
      </c>
      <c r="D23" s="120"/>
      <c r="E23" s="18"/>
      <c r="F23" s="117" t="s">
        <v>3</v>
      </c>
      <c r="G23" s="119"/>
    </row>
    <row r="24" spans="2:9" ht="15" thickBot="1" x14ac:dyDescent="0.35">
      <c r="C24" s="19" t="s">
        <v>4</v>
      </c>
      <c r="D24" s="20" t="s">
        <v>71</v>
      </c>
      <c r="E24" s="21"/>
      <c r="F24" s="19" t="s">
        <v>71</v>
      </c>
      <c r="G24" s="20" t="s">
        <v>4</v>
      </c>
    </row>
    <row r="25" spans="2:9" x14ac:dyDescent="0.3">
      <c r="C25" s="80">
        <v>14600</v>
      </c>
      <c r="D25" s="46">
        <v>87</v>
      </c>
      <c r="E25" s="49"/>
      <c r="F25" s="46">
        <v>89</v>
      </c>
      <c r="G25" s="83">
        <v>9520</v>
      </c>
      <c r="I25" t="s">
        <v>61</v>
      </c>
    </row>
    <row r="26" spans="2:9" x14ac:dyDescent="0.3">
      <c r="C26" s="81">
        <v>12500</v>
      </c>
      <c r="D26" s="47">
        <v>86</v>
      </c>
      <c r="E26" s="50"/>
      <c r="F26" s="47">
        <v>90</v>
      </c>
      <c r="G26" s="81">
        <v>3000</v>
      </c>
      <c r="I26" t="s">
        <v>62</v>
      </c>
    </row>
    <row r="27" spans="2:9" ht="15" thickBot="1" x14ac:dyDescent="0.35">
      <c r="C27" s="82">
        <v>3780</v>
      </c>
      <c r="D27" s="48">
        <v>85</v>
      </c>
      <c r="E27" s="50"/>
      <c r="F27" s="48"/>
      <c r="G27" s="82"/>
    </row>
    <row r="28" spans="2:9" x14ac:dyDescent="0.3">
      <c r="C28" s="10"/>
      <c r="D28" s="44"/>
      <c r="E28" s="10"/>
      <c r="F28" s="44"/>
      <c r="G28" s="10"/>
    </row>
    <row r="29" spans="2:9" x14ac:dyDescent="0.3">
      <c r="B29" s="25">
        <v>0.58390046296296294</v>
      </c>
      <c r="C29" s="7" t="s">
        <v>139</v>
      </c>
      <c r="D29" s="7"/>
      <c r="E29" s="7"/>
      <c r="F29" s="44"/>
      <c r="G29" s="10"/>
    </row>
    <row r="30" spans="2:9" ht="15" thickBot="1" x14ac:dyDescent="0.35">
      <c r="C30" s="10"/>
      <c r="D30" s="44"/>
      <c r="E30" s="10"/>
      <c r="F30" s="44"/>
      <c r="G30" s="10"/>
    </row>
    <row r="31" spans="2:9" ht="15" thickBot="1" x14ac:dyDescent="0.35">
      <c r="C31" s="117" t="s">
        <v>29</v>
      </c>
      <c r="D31" s="118"/>
      <c r="E31" s="118"/>
      <c r="F31" s="118"/>
      <c r="G31" s="119"/>
    </row>
    <row r="32" spans="2:9" ht="15" thickBot="1" x14ac:dyDescent="0.35">
      <c r="C32" s="117" t="s">
        <v>2</v>
      </c>
      <c r="D32" s="120"/>
      <c r="E32" s="18"/>
      <c r="F32" s="117" t="s">
        <v>3</v>
      </c>
      <c r="G32" s="119"/>
    </row>
    <row r="33" spans="1:26" ht="15" thickBot="1" x14ac:dyDescent="0.35">
      <c r="C33" s="19" t="s">
        <v>4</v>
      </c>
      <c r="D33" s="20" t="s">
        <v>71</v>
      </c>
      <c r="E33" s="21"/>
      <c r="F33" s="19" t="s">
        <v>71</v>
      </c>
      <c r="G33" s="20" t="s">
        <v>4</v>
      </c>
      <c r="I33" s="45" t="s">
        <v>70</v>
      </c>
    </row>
    <row r="34" spans="1:26" x14ac:dyDescent="0.3">
      <c r="C34" s="80">
        <v>12500</v>
      </c>
      <c r="D34" s="84">
        <v>86</v>
      </c>
      <c r="E34" s="49"/>
      <c r="F34" s="84">
        <v>87</v>
      </c>
      <c r="G34" s="83">
        <v>400</v>
      </c>
      <c r="I34" t="s">
        <v>63</v>
      </c>
    </row>
    <row r="35" spans="1:26" x14ac:dyDescent="0.3">
      <c r="C35" s="81">
        <v>3780</v>
      </c>
      <c r="D35" s="47">
        <v>85</v>
      </c>
      <c r="E35" s="50"/>
      <c r="F35" s="47">
        <v>89</v>
      </c>
      <c r="G35" s="81">
        <v>9520</v>
      </c>
      <c r="I35" t="s">
        <v>64</v>
      </c>
      <c r="M35" s="9"/>
      <c r="N35" s="26" t="s">
        <v>65</v>
      </c>
      <c r="O35" s="27"/>
      <c r="P35" s="28"/>
      <c r="Q35" s="26" t="s">
        <v>66</v>
      </c>
      <c r="R35" s="27"/>
      <c r="S35" s="28"/>
      <c r="T35" s="26" t="s">
        <v>67</v>
      </c>
      <c r="U35" s="27"/>
      <c r="V35" s="28"/>
      <c r="W35" s="26" t="s">
        <v>68</v>
      </c>
      <c r="X35" s="27"/>
      <c r="Y35" s="28"/>
      <c r="Z35" s="26" t="s">
        <v>69</v>
      </c>
    </row>
    <row r="36" spans="1:26" ht="15" thickBot="1" x14ac:dyDescent="0.35">
      <c r="C36" s="82"/>
      <c r="D36" s="48"/>
      <c r="E36" s="50"/>
      <c r="F36" s="48">
        <v>90</v>
      </c>
      <c r="G36" s="82">
        <v>3000</v>
      </c>
      <c r="M36" s="11" t="s">
        <v>0</v>
      </c>
      <c r="N36" s="26" t="s">
        <v>65</v>
      </c>
      <c r="O36" s="27"/>
      <c r="P36" s="28"/>
      <c r="Q36" s="26" t="s">
        <v>66</v>
      </c>
      <c r="R36" s="27"/>
      <c r="S36" s="28"/>
      <c r="T36" s="26" t="s">
        <v>67</v>
      </c>
      <c r="U36" s="27"/>
      <c r="V36" s="28"/>
      <c r="W36" s="26" t="s">
        <v>68</v>
      </c>
      <c r="X36" s="27"/>
      <c r="Y36" s="28"/>
      <c r="Z36" s="26" t="s">
        <v>69</v>
      </c>
    </row>
    <row r="37" spans="1:26" x14ac:dyDescent="0.3">
      <c r="C37" s="10"/>
      <c r="D37" s="44"/>
      <c r="E37" s="10"/>
      <c r="F37" s="44"/>
      <c r="G37" s="10"/>
    </row>
    <row r="38" spans="1:26" x14ac:dyDescent="0.3">
      <c r="A38" s="22" t="s">
        <v>79</v>
      </c>
      <c r="B38" s="23" t="s">
        <v>140</v>
      </c>
      <c r="C38" s="7"/>
      <c r="D38" s="7"/>
      <c r="E38" s="7"/>
      <c r="F38" s="7"/>
      <c r="G38" s="7"/>
    </row>
    <row r="39" spans="1:26" x14ac:dyDescent="0.3">
      <c r="B39" s="29">
        <v>0.58219907407407401</v>
      </c>
      <c r="C39" t="s">
        <v>76</v>
      </c>
    </row>
    <row r="40" spans="1:26" x14ac:dyDescent="0.3">
      <c r="B40" s="29">
        <v>0.58231481481481484</v>
      </c>
      <c r="C40" t="s">
        <v>75</v>
      </c>
    </row>
    <row r="41" spans="1:26" x14ac:dyDescent="0.3">
      <c r="B41" s="29">
        <v>0.58234953703703707</v>
      </c>
      <c r="C41" t="s">
        <v>72</v>
      </c>
    </row>
    <row r="42" spans="1:26" ht="15" thickBot="1" x14ac:dyDescent="0.35"/>
    <row r="43" spans="1:26" ht="15" thickBot="1" x14ac:dyDescent="0.35">
      <c r="C43" s="117" t="s">
        <v>1</v>
      </c>
      <c r="D43" s="118"/>
      <c r="E43" s="118"/>
      <c r="F43" s="118"/>
      <c r="G43" s="119"/>
    </row>
    <row r="44" spans="1:26" ht="15" thickBot="1" x14ac:dyDescent="0.35">
      <c r="C44" s="117" t="s">
        <v>2</v>
      </c>
      <c r="D44" s="120"/>
      <c r="E44" s="18"/>
      <c r="F44" s="117" t="s">
        <v>3</v>
      </c>
      <c r="G44" s="119"/>
    </row>
    <row r="45" spans="1:26" ht="15" thickBot="1" x14ac:dyDescent="0.35">
      <c r="C45" s="19" t="s">
        <v>4</v>
      </c>
      <c r="D45" s="20" t="s">
        <v>71</v>
      </c>
      <c r="E45" s="21"/>
      <c r="F45" s="19" t="s">
        <v>71</v>
      </c>
      <c r="G45" s="20" t="s">
        <v>4</v>
      </c>
    </row>
    <row r="46" spans="1:26" x14ac:dyDescent="0.3">
      <c r="C46" s="80">
        <v>14600</v>
      </c>
      <c r="D46" s="46">
        <v>87</v>
      </c>
      <c r="E46" s="49"/>
      <c r="F46" s="46">
        <v>88</v>
      </c>
      <c r="G46" s="80">
        <v>13650</v>
      </c>
    </row>
    <row r="47" spans="1:26" x14ac:dyDescent="0.3">
      <c r="C47" s="81">
        <v>12500</v>
      </c>
      <c r="D47" s="47">
        <v>86</v>
      </c>
      <c r="E47" s="50"/>
      <c r="F47" s="47">
        <v>89</v>
      </c>
      <c r="G47" s="81">
        <v>9870</v>
      </c>
    </row>
    <row r="48" spans="1:26" ht="15" thickBot="1" x14ac:dyDescent="0.35">
      <c r="C48" s="82">
        <v>3780</v>
      </c>
      <c r="D48" s="48">
        <v>85</v>
      </c>
      <c r="E48" s="50"/>
      <c r="F48" s="48">
        <v>90</v>
      </c>
      <c r="G48" s="82">
        <v>3000</v>
      </c>
    </row>
    <row r="50" spans="2:9" x14ac:dyDescent="0.3">
      <c r="B50" s="29">
        <v>0.58234953703703707</v>
      </c>
      <c r="C50" t="s">
        <v>73</v>
      </c>
      <c r="I50" t="s">
        <v>74</v>
      </c>
    </row>
    <row r="51" spans="2:9" ht="15" thickBot="1" x14ac:dyDescent="0.35"/>
    <row r="52" spans="2:9" ht="15" thickBot="1" x14ac:dyDescent="0.35">
      <c r="C52" s="117" t="s">
        <v>6</v>
      </c>
      <c r="D52" s="118"/>
      <c r="E52" s="118"/>
      <c r="F52" s="118"/>
      <c r="G52" s="119"/>
    </row>
    <row r="53" spans="2:9" ht="15" thickBot="1" x14ac:dyDescent="0.35">
      <c r="C53" s="117" t="s">
        <v>2</v>
      </c>
      <c r="D53" s="120"/>
      <c r="E53" s="18"/>
      <c r="F53" s="117" t="s">
        <v>3</v>
      </c>
      <c r="G53" s="119"/>
      <c r="I53" s="43"/>
    </row>
    <row r="54" spans="2:9" ht="15" thickBot="1" x14ac:dyDescent="0.35">
      <c r="C54" s="19" t="s">
        <v>4</v>
      </c>
      <c r="D54" s="20" t="s">
        <v>5</v>
      </c>
      <c r="E54" s="21"/>
      <c r="F54" s="19" t="s">
        <v>5</v>
      </c>
      <c r="G54" s="20" t="s">
        <v>4</v>
      </c>
    </row>
    <row r="55" spans="2:9" x14ac:dyDescent="0.3">
      <c r="C55" s="80">
        <v>14600</v>
      </c>
      <c r="D55" s="46">
        <v>87</v>
      </c>
      <c r="E55" s="49"/>
      <c r="F55" s="46">
        <v>88</v>
      </c>
      <c r="G55" s="85">
        <v>16450</v>
      </c>
    </row>
    <row r="56" spans="2:9" x14ac:dyDescent="0.3">
      <c r="C56" s="81">
        <v>12500</v>
      </c>
      <c r="D56" s="47">
        <v>86</v>
      </c>
      <c r="E56" s="50"/>
      <c r="F56" s="47">
        <v>89</v>
      </c>
      <c r="G56" s="81">
        <v>9870</v>
      </c>
    </row>
    <row r="57" spans="2:9" ht="15" thickBot="1" x14ac:dyDescent="0.35">
      <c r="C57" s="82">
        <v>3780</v>
      </c>
      <c r="D57" s="48">
        <v>85</v>
      </c>
      <c r="E57" s="50"/>
      <c r="F57" s="48">
        <v>90</v>
      </c>
      <c r="G57" s="82">
        <v>3000</v>
      </c>
    </row>
    <row r="59" spans="2:9" x14ac:dyDescent="0.3">
      <c r="B59" s="29">
        <v>0.58231481481481484</v>
      </c>
      <c r="C59" t="s">
        <v>75</v>
      </c>
      <c r="I59" t="s">
        <v>31</v>
      </c>
    </row>
    <row r="60" spans="2:9" ht="15" thickBot="1" x14ac:dyDescent="0.35"/>
    <row r="61" spans="2:9" ht="15" thickBot="1" x14ac:dyDescent="0.35">
      <c r="C61" s="117" t="s">
        <v>7</v>
      </c>
      <c r="D61" s="118"/>
      <c r="E61" s="118"/>
      <c r="F61" s="118"/>
      <c r="G61" s="119"/>
    </row>
    <row r="62" spans="2:9" ht="15" thickBot="1" x14ac:dyDescent="0.35">
      <c r="C62" s="117" t="s">
        <v>2</v>
      </c>
      <c r="D62" s="120"/>
      <c r="E62" s="18"/>
      <c r="F62" s="117" t="s">
        <v>3</v>
      </c>
      <c r="G62" s="119"/>
    </row>
    <row r="63" spans="2:9" ht="15" thickBot="1" x14ac:dyDescent="0.35">
      <c r="C63" s="19" t="s">
        <v>4</v>
      </c>
      <c r="D63" s="20" t="s">
        <v>5</v>
      </c>
      <c r="E63" s="21"/>
      <c r="F63" s="19" t="s">
        <v>5</v>
      </c>
      <c r="G63" s="20" t="s">
        <v>4</v>
      </c>
    </row>
    <row r="64" spans="2:9" x14ac:dyDescent="0.3">
      <c r="C64" s="80">
        <v>14600</v>
      </c>
      <c r="D64" s="46">
        <v>87</v>
      </c>
      <c r="E64" s="49"/>
      <c r="F64" s="46">
        <v>88</v>
      </c>
      <c r="G64" s="80">
        <v>16450</v>
      </c>
    </row>
    <row r="65" spans="1:41" x14ac:dyDescent="0.3">
      <c r="C65" s="81">
        <v>12500</v>
      </c>
      <c r="D65" s="47">
        <v>86</v>
      </c>
      <c r="E65" s="50"/>
      <c r="F65" s="47">
        <v>90</v>
      </c>
      <c r="G65" s="81">
        <v>3000</v>
      </c>
    </row>
    <row r="66" spans="1:41" ht="15" thickBot="1" x14ac:dyDescent="0.35">
      <c r="C66" s="82">
        <v>3780</v>
      </c>
      <c r="D66" s="48">
        <v>85</v>
      </c>
      <c r="E66" s="50"/>
      <c r="F66" s="48"/>
      <c r="G66" s="82"/>
    </row>
    <row r="68" spans="1:41" x14ac:dyDescent="0.3">
      <c r="B68" s="29">
        <v>0.58219907407407401</v>
      </c>
      <c r="C68" t="s">
        <v>76</v>
      </c>
      <c r="I68" t="s">
        <v>31</v>
      </c>
    </row>
    <row r="69" spans="1:41" ht="15" thickBot="1" x14ac:dyDescent="0.35"/>
    <row r="70" spans="1:41" ht="15" thickBot="1" x14ac:dyDescent="0.35">
      <c r="C70" s="117" t="s">
        <v>8</v>
      </c>
      <c r="D70" s="118"/>
      <c r="E70" s="118"/>
      <c r="F70" s="118"/>
      <c r="G70" s="119"/>
    </row>
    <row r="71" spans="1:41" ht="15" thickBot="1" x14ac:dyDescent="0.35">
      <c r="C71" s="117" t="s">
        <v>2</v>
      </c>
      <c r="D71" s="120"/>
      <c r="E71" s="18"/>
      <c r="F71" s="117" t="s">
        <v>3</v>
      </c>
      <c r="G71" s="119"/>
    </row>
    <row r="72" spans="1:41" ht="15" thickBot="1" x14ac:dyDescent="0.35">
      <c r="C72" s="19" t="s">
        <v>4</v>
      </c>
      <c r="D72" s="20" t="s">
        <v>5</v>
      </c>
      <c r="E72" s="21"/>
      <c r="F72" s="19" t="s">
        <v>5</v>
      </c>
      <c r="G72" s="20" t="s">
        <v>4</v>
      </c>
      <c r="M72" s="9"/>
      <c r="N72" s="26" t="s">
        <v>141</v>
      </c>
      <c r="O72" s="27"/>
      <c r="P72" s="28"/>
      <c r="Q72" s="26" t="s">
        <v>142</v>
      </c>
      <c r="R72" s="27"/>
      <c r="S72" s="28"/>
      <c r="T72" s="26" t="s">
        <v>143</v>
      </c>
      <c r="U72" s="27"/>
      <c r="V72" s="28"/>
      <c r="W72" s="26" t="s">
        <v>144</v>
      </c>
      <c r="X72" s="27"/>
      <c r="Y72" s="28"/>
      <c r="Z72" s="26" t="s">
        <v>145</v>
      </c>
    </row>
    <row r="73" spans="1:41" x14ac:dyDescent="0.3">
      <c r="C73" s="86">
        <v>12500</v>
      </c>
      <c r="D73" s="84">
        <v>86</v>
      </c>
      <c r="E73" s="49"/>
      <c r="F73" s="46">
        <v>88</v>
      </c>
      <c r="G73" s="80">
        <v>16450</v>
      </c>
      <c r="M73" s="9"/>
      <c r="N73" s="26" t="s">
        <v>141</v>
      </c>
      <c r="O73" s="27"/>
      <c r="P73" s="28"/>
      <c r="Q73" s="26" t="s">
        <v>142</v>
      </c>
      <c r="R73" s="27"/>
      <c r="S73" s="11" t="s">
        <v>0</v>
      </c>
      <c r="T73" s="26" t="s">
        <v>143</v>
      </c>
      <c r="U73" s="27"/>
      <c r="V73" s="28"/>
      <c r="W73" s="26" t="s">
        <v>144</v>
      </c>
      <c r="X73" s="27"/>
      <c r="Y73" s="28"/>
      <c r="Z73" s="26" t="s">
        <v>145</v>
      </c>
    </row>
    <row r="74" spans="1:41" x14ac:dyDescent="0.3">
      <c r="C74" s="81">
        <v>3780</v>
      </c>
      <c r="D74" s="47">
        <v>85</v>
      </c>
      <c r="E74" s="50"/>
      <c r="F74" s="47">
        <v>90</v>
      </c>
      <c r="G74" s="81">
        <v>3000</v>
      </c>
    </row>
    <row r="75" spans="1:41" ht="15" thickBot="1" x14ac:dyDescent="0.35">
      <c r="C75" s="82"/>
      <c r="D75" s="48"/>
      <c r="E75" s="50"/>
      <c r="F75" s="48"/>
      <c r="G75" s="82"/>
    </row>
    <row r="76" spans="1:41" x14ac:dyDescent="0.3">
      <c r="C76" s="10"/>
      <c r="D76" s="50"/>
      <c r="E76" s="10"/>
      <c r="F76" s="50"/>
      <c r="G76" s="51"/>
    </row>
    <row r="77" spans="1:41" ht="15" thickBot="1" x14ac:dyDescent="0.35">
      <c r="A77" s="23" t="s">
        <v>87</v>
      </c>
      <c r="B77" s="6"/>
      <c r="C77" s="7"/>
      <c r="D77" s="30"/>
      <c r="E77" s="30"/>
      <c r="F77" s="30"/>
      <c r="G77" s="30"/>
      <c r="H77" s="7"/>
      <c r="I77" s="7"/>
      <c r="J77" s="7"/>
      <c r="K77" s="7"/>
    </row>
    <row r="78" spans="1:41" ht="15.6" thickBot="1" x14ac:dyDescent="0.4">
      <c r="AB78" s="87" t="s">
        <v>71</v>
      </c>
      <c r="AC78" s="88" t="s">
        <v>80</v>
      </c>
      <c r="AD78" s="89">
        <v>147.30000000000001</v>
      </c>
      <c r="AE78" s="89">
        <v>147.25</v>
      </c>
      <c r="AF78" s="89">
        <v>147.19999999999999</v>
      </c>
      <c r="AG78" s="89">
        <v>147.15</v>
      </c>
      <c r="AH78" s="90">
        <v>147.1</v>
      </c>
      <c r="AI78" s="90">
        <v>147.05000000000001</v>
      </c>
      <c r="AJ78" s="89">
        <v>147</v>
      </c>
      <c r="AK78" s="89">
        <v>146.94999999999999</v>
      </c>
      <c r="AL78" s="89">
        <v>146.9</v>
      </c>
      <c r="AM78" s="89">
        <v>146.85</v>
      </c>
      <c r="AN78" s="89">
        <v>146.80000000000001</v>
      </c>
      <c r="AO78" s="88" t="s">
        <v>81</v>
      </c>
    </row>
    <row r="79" spans="1:41" ht="15" thickBot="1" x14ac:dyDescent="0.35">
      <c r="F79" s="87" t="s">
        <v>71</v>
      </c>
      <c r="G79" s="87" t="s">
        <v>9</v>
      </c>
      <c r="H79" s="87" t="s">
        <v>10</v>
      </c>
      <c r="I79" s="91" t="s">
        <v>82</v>
      </c>
      <c r="J79" s="91" t="s">
        <v>83</v>
      </c>
      <c r="K79" s="91" t="s">
        <v>84</v>
      </c>
      <c r="AB79" s="87" t="s">
        <v>9</v>
      </c>
      <c r="AC79" s="92">
        <v>700</v>
      </c>
      <c r="AD79" s="88"/>
      <c r="AE79" s="88">
        <v>50</v>
      </c>
      <c r="AF79" s="88"/>
      <c r="AG79" s="88">
        <v>70</v>
      </c>
      <c r="AH79" s="88">
        <v>350</v>
      </c>
      <c r="AI79" s="93">
        <v>380</v>
      </c>
      <c r="AJ79" s="88">
        <v>570</v>
      </c>
      <c r="AK79" s="88">
        <v>250</v>
      </c>
      <c r="AL79" s="88">
        <v>400</v>
      </c>
      <c r="AM79" s="88">
        <v>130</v>
      </c>
      <c r="AN79" s="88">
        <v>150</v>
      </c>
      <c r="AO79" s="88"/>
    </row>
    <row r="80" spans="1:41" ht="15" thickBot="1" x14ac:dyDescent="0.35">
      <c r="F80" s="88">
        <v>147.35</v>
      </c>
      <c r="G80" s="92">
        <v>700</v>
      </c>
      <c r="H80" s="88"/>
      <c r="I80">
        <f>G80</f>
        <v>700</v>
      </c>
      <c r="J80">
        <f t="shared" ref="J80:J91" si="0">J81+H80</f>
        <v>2240</v>
      </c>
      <c r="K80">
        <f t="shared" ref="K80:K92" si="1">ABS(I80-J80)</f>
        <v>1540</v>
      </c>
      <c r="AB80" s="87" t="s">
        <v>10</v>
      </c>
      <c r="AC80" s="88"/>
      <c r="AD80" s="88">
        <v>70</v>
      </c>
      <c r="AE80" s="88">
        <v>140</v>
      </c>
      <c r="AF80" s="88">
        <v>100</v>
      </c>
      <c r="AG80" s="88">
        <v>260</v>
      </c>
      <c r="AH80" s="88">
        <v>450</v>
      </c>
      <c r="AI80" s="93">
        <v>210</v>
      </c>
      <c r="AJ80" s="88">
        <v>150</v>
      </c>
      <c r="AK80" s="88">
        <v>30</v>
      </c>
      <c r="AL80" s="88">
        <v>60</v>
      </c>
      <c r="AM80" s="88">
        <v>130</v>
      </c>
      <c r="AN80" s="88"/>
      <c r="AO80" s="88">
        <v>640</v>
      </c>
    </row>
    <row r="81" spans="3:26" ht="15" thickBot="1" x14ac:dyDescent="0.35">
      <c r="F81" s="89">
        <v>147.30000000000001</v>
      </c>
      <c r="G81" s="88"/>
      <c r="H81" s="88">
        <v>70</v>
      </c>
      <c r="I81">
        <f t="shared" ref="I81:I92" si="2">I80+G81</f>
        <v>700</v>
      </c>
      <c r="J81">
        <f t="shared" si="0"/>
        <v>2240</v>
      </c>
      <c r="K81">
        <f t="shared" si="1"/>
        <v>1540</v>
      </c>
    </row>
    <row r="82" spans="3:26" ht="15" thickBot="1" x14ac:dyDescent="0.35">
      <c r="F82" s="89">
        <v>147.25</v>
      </c>
      <c r="G82" s="88">
        <v>50</v>
      </c>
      <c r="H82" s="88">
        <v>140</v>
      </c>
      <c r="I82">
        <f t="shared" si="2"/>
        <v>750</v>
      </c>
      <c r="J82">
        <f t="shared" si="0"/>
        <v>2170</v>
      </c>
      <c r="K82">
        <f t="shared" si="1"/>
        <v>1420</v>
      </c>
    </row>
    <row r="83" spans="3:26" ht="15" thickBot="1" x14ac:dyDescent="0.35">
      <c r="F83" s="89">
        <v>147.19999999999999</v>
      </c>
      <c r="G83" s="88"/>
      <c r="H83" s="88">
        <v>100</v>
      </c>
      <c r="I83">
        <f t="shared" si="2"/>
        <v>750</v>
      </c>
      <c r="J83">
        <f t="shared" si="0"/>
        <v>2030</v>
      </c>
      <c r="K83">
        <f t="shared" si="1"/>
        <v>1280</v>
      </c>
    </row>
    <row r="84" spans="3:26" ht="15" thickBot="1" x14ac:dyDescent="0.35">
      <c r="F84" s="89">
        <v>147.15</v>
      </c>
      <c r="G84" s="88">
        <v>70</v>
      </c>
      <c r="H84" s="88">
        <v>260</v>
      </c>
      <c r="I84">
        <f t="shared" si="2"/>
        <v>820</v>
      </c>
      <c r="J84">
        <f t="shared" si="0"/>
        <v>1930</v>
      </c>
      <c r="K84">
        <f t="shared" si="1"/>
        <v>1110</v>
      </c>
    </row>
    <row r="85" spans="3:26" ht="15" thickBot="1" x14ac:dyDescent="0.35">
      <c r="F85" s="90">
        <v>147.1</v>
      </c>
      <c r="G85" s="88">
        <v>350</v>
      </c>
      <c r="H85" s="88">
        <v>450</v>
      </c>
      <c r="I85" s="95">
        <f t="shared" si="2"/>
        <v>1170</v>
      </c>
      <c r="J85" s="95">
        <f t="shared" si="0"/>
        <v>1670</v>
      </c>
      <c r="K85" s="95">
        <f t="shared" si="1"/>
        <v>500</v>
      </c>
    </row>
    <row r="86" spans="3:26" ht="15" thickBot="1" x14ac:dyDescent="0.35">
      <c r="F86" s="90">
        <v>147.05000000000001</v>
      </c>
      <c r="G86" s="93">
        <v>380</v>
      </c>
      <c r="H86" s="93">
        <v>210</v>
      </c>
      <c r="I86" s="102">
        <f t="shared" si="2"/>
        <v>1550</v>
      </c>
      <c r="J86" s="102">
        <f t="shared" si="0"/>
        <v>1220</v>
      </c>
      <c r="K86" s="102">
        <f t="shared" si="1"/>
        <v>330</v>
      </c>
    </row>
    <row r="87" spans="3:26" ht="15" thickBot="1" x14ac:dyDescent="0.35">
      <c r="F87" s="89">
        <v>147</v>
      </c>
      <c r="G87" s="88">
        <v>570</v>
      </c>
      <c r="H87" s="88">
        <v>150</v>
      </c>
      <c r="I87">
        <f t="shared" si="2"/>
        <v>2120</v>
      </c>
      <c r="J87">
        <f t="shared" si="0"/>
        <v>1010</v>
      </c>
      <c r="K87">
        <f t="shared" si="1"/>
        <v>1110</v>
      </c>
    </row>
    <row r="88" spans="3:26" ht="15" thickBot="1" x14ac:dyDescent="0.35">
      <c r="F88" s="89">
        <v>146.94999999999999</v>
      </c>
      <c r="G88" s="88">
        <v>250</v>
      </c>
      <c r="H88" s="88">
        <v>30</v>
      </c>
      <c r="I88">
        <f t="shared" si="2"/>
        <v>2370</v>
      </c>
      <c r="J88">
        <f t="shared" si="0"/>
        <v>860</v>
      </c>
      <c r="K88">
        <f t="shared" si="1"/>
        <v>1510</v>
      </c>
    </row>
    <row r="89" spans="3:26" ht="15" thickBot="1" x14ac:dyDescent="0.35">
      <c r="F89" s="89">
        <v>146.9</v>
      </c>
      <c r="G89" s="88">
        <v>400</v>
      </c>
      <c r="H89" s="88">
        <v>60</v>
      </c>
      <c r="I89">
        <f t="shared" si="2"/>
        <v>2770</v>
      </c>
      <c r="J89">
        <f t="shared" si="0"/>
        <v>830</v>
      </c>
      <c r="K89">
        <f t="shared" si="1"/>
        <v>1940</v>
      </c>
    </row>
    <row r="90" spans="3:26" ht="15" thickBot="1" x14ac:dyDescent="0.35">
      <c r="F90" s="89">
        <v>146.85</v>
      </c>
      <c r="G90" s="88">
        <v>130</v>
      </c>
      <c r="H90" s="88">
        <v>130</v>
      </c>
      <c r="I90">
        <f t="shared" si="2"/>
        <v>2900</v>
      </c>
      <c r="J90">
        <f t="shared" si="0"/>
        <v>770</v>
      </c>
      <c r="K90">
        <f t="shared" si="1"/>
        <v>2130</v>
      </c>
    </row>
    <row r="91" spans="3:26" ht="15" thickBot="1" x14ac:dyDescent="0.35">
      <c r="F91" s="89">
        <v>146.80000000000001</v>
      </c>
      <c r="G91" s="88">
        <v>150</v>
      </c>
      <c r="H91" s="88"/>
      <c r="I91">
        <f t="shared" si="2"/>
        <v>3050</v>
      </c>
      <c r="J91">
        <f t="shared" si="0"/>
        <v>640</v>
      </c>
      <c r="K91">
        <f t="shared" si="1"/>
        <v>2410</v>
      </c>
    </row>
    <row r="92" spans="3:26" ht="15" thickBot="1" x14ac:dyDescent="0.35">
      <c r="F92" s="88">
        <v>146.75</v>
      </c>
      <c r="G92" s="88"/>
      <c r="H92" s="88">
        <v>640</v>
      </c>
      <c r="I92">
        <f t="shared" si="2"/>
        <v>3050</v>
      </c>
      <c r="J92">
        <f>H92</f>
        <v>640</v>
      </c>
      <c r="K92">
        <f t="shared" si="1"/>
        <v>2410</v>
      </c>
    </row>
    <row r="93" spans="3:26" ht="15" thickBot="1" x14ac:dyDescent="0.35">
      <c r="F93" s="96"/>
      <c r="H93" s="97"/>
      <c r="I93" s="97"/>
      <c r="J93" s="97"/>
      <c r="K93" s="97"/>
      <c r="M93" s="9"/>
      <c r="N93" s="98" t="s">
        <v>146</v>
      </c>
      <c r="O93" s="27"/>
      <c r="P93" s="28"/>
      <c r="Q93" s="98" t="s">
        <v>147</v>
      </c>
      <c r="R93" s="27"/>
      <c r="S93" s="28"/>
      <c r="T93" s="98" t="s">
        <v>148</v>
      </c>
      <c r="U93" s="27"/>
      <c r="V93" s="28"/>
      <c r="W93" s="98" t="s">
        <v>149</v>
      </c>
      <c r="X93" s="27"/>
      <c r="Y93" s="28"/>
      <c r="Z93" s="98" t="s">
        <v>150</v>
      </c>
    </row>
    <row r="94" spans="3:26" ht="15" thickBot="1" x14ac:dyDescent="0.35">
      <c r="F94" s="99" t="s">
        <v>85</v>
      </c>
      <c r="G94" s="100">
        <v>147.05000000000001</v>
      </c>
      <c r="I94" s="97"/>
      <c r="J94" s="97"/>
      <c r="K94" s="97"/>
      <c r="M94" s="9"/>
      <c r="N94" s="98" t="s">
        <v>146</v>
      </c>
      <c r="O94" s="27"/>
      <c r="P94" s="28"/>
      <c r="Q94" s="98" t="s">
        <v>147</v>
      </c>
      <c r="R94" s="27"/>
      <c r="S94" s="28"/>
      <c r="T94" s="98" t="s">
        <v>148</v>
      </c>
      <c r="U94" s="27"/>
      <c r="V94" s="11" t="s">
        <v>0</v>
      </c>
      <c r="W94" s="98" t="s">
        <v>149</v>
      </c>
      <c r="X94" s="27"/>
      <c r="Y94" s="28"/>
      <c r="Z94" s="98" t="s">
        <v>150</v>
      </c>
    </row>
    <row r="95" spans="3:26" ht="15" thickBot="1" x14ac:dyDescent="0.35">
      <c r="F95" s="99" t="s">
        <v>86</v>
      </c>
      <c r="G95" s="101">
        <v>1220</v>
      </c>
      <c r="I95" s="97"/>
      <c r="J95" s="97"/>
      <c r="K95" s="97"/>
    </row>
    <row r="96" spans="3:26" x14ac:dyDescent="0.3">
      <c r="C96" s="10"/>
      <c r="D96" s="50"/>
      <c r="E96" s="10"/>
      <c r="F96" s="50"/>
      <c r="G96" s="51"/>
    </row>
    <row r="98" spans="1:26" x14ac:dyDescent="0.3">
      <c r="A98" s="23" t="s">
        <v>92</v>
      </c>
      <c r="B98" s="6"/>
      <c r="C98" s="7"/>
      <c r="D98" s="30"/>
      <c r="E98" s="30"/>
      <c r="F98" s="30"/>
      <c r="G98" s="30"/>
      <c r="H98" s="7"/>
      <c r="I98" s="7"/>
      <c r="J98" s="7"/>
    </row>
    <row r="99" spans="1:26" x14ac:dyDescent="0.3">
      <c r="B99" s="22" t="s">
        <v>151</v>
      </c>
      <c r="C99" s="13"/>
      <c r="D99" s="7"/>
      <c r="E99" s="7"/>
      <c r="F99" s="7"/>
      <c r="G99" s="7"/>
      <c r="H99" s="7"/>
      <c r="I99" s="7"/>
      <c r="J99" s="7"/>
    </row>
    <row r="100" spans="1:26" x14ac:dyDescent="0.3">
      <c r="C100" s="14"/>
    </row>
    <row r="101" spans="1:26" x14ac:dyDescent="0.3">
      <c r="B101" t="s">
        <v>19</v>
      </c>
      <c r="C101" s="17">
        <v>2.4E-2</v>
      </c>
      <c r="F101" t="s">
        <v>17</v>
      </c>
      <c r="G101" s="75">
        <v>11</v>
      </c>
      <c r="M101" s="9"/>
      <c r="N101" s="26" t="s">
        <v>33</v>
      </c>
      <c r="O101" s="27"/>
      <c r="P101" s="28"/>
      <c r="Q101" s="26" t="s">
        <v>90</v>
      </c>
      <c r="R101" s="27"/>
      <c r="S101" s="28"/>
      <c r="T101" s="26" t="s">
        <v>91</v>
      </c>
      <c r="U101" s="27"/>
      <c r="V101" s="28"/>
      <c r="W101" s="26" t="s">
        <v>34</v>
      </c>
      <c r="X101" s="27"/>
      <c r="Y101" s="28"/>
      <c r="Z101" s="26" t="s">
        <v>35</v>
      </c>
    </row>
    <row r="102" spans="1:26" x14ac:dyDescent="0.3">
      <c r="B102" t="s">
        <v>18</v>
      </c>
      <c r="C102" s="17">
        <v>2.6499999999999999E-2</v>
      </c>
      <c r="F102" t="s">
        <v>32</v>
      </c>
      <c r="G102" s="16">
        <f>C101/(1-(1+C101)^-G101)</f>
        <v>0.10451686063986704</v>
      </c>
      <c r="M102" s="9"/>
      <c r="N102" s="26" t="s">
        <v>33</v>
      </c>
      <c r="O102" s="27"/>
      <c r="P102" s="11" t="s">
        <v>0</v>
      </c>
      <c r="Q102" s="26" t="s">
        <v>90</v>
      </c>
      <c r="R102" s="27"/>
      <c r="S102" s="28"/>
      <c r="T102" s="26" t="s">
        <v>91</v>
      </c>
      <c r="U102" s="27"/>
      <c r="V102" s="28"/>
      <c r="W102" s="26" t="s">
        <v>34</v>
      </c>
      <c r="X102" s="27"/>
      <c r="Y102" s="28"/>
      <c r="Z102" s="26" t="s">
        <v>35</v>
      </c>
    </row>
    <row r="103" spans="1:26" x14ac:dyDescent="0.3">
      <c r="B103" t="s">
        <v>16</v>
      </c>
      <c r="C103" s="16">
        <f>(C101/C102)*((1-(1+C102)^-G101)/(1-(1+C101)^-G101))</f>
        <v>0.98607455511444297</v>
      </c>
      <c r="F103" s="17"/>
    </row>
    <row r="104" spans="1:26" x14ac:dyDescent="0.3">
      <c r="D104" t="s">
        <v>53</v>
      </c>
      <c r="E104" t="s">
        <v>88</v>
      </c>
      <c r="F104">
        <v>10</v>
      </c>
      <c r="G104" t="str">
        <f>"Vo(n="&amp;FIXED(F104,0)&amp;")="</f>
        <v>Vo(n=10)=</v>
      </c>
      <c r="H104" s="16">
        <f>(C101/C102)*((1-(1+C102)^-F104)/(1-(1+C101)^-F104))</f>
        <v>0.98717271837824982</v>
      </c>
    </row>
    <row r="105" spans="1:26" x14ac:dyDescent="0.3">
      <c r="E105" t="s">
        <v>89</v>
      </c>
      <c r="F105">
        <v>13</v>
      </c>
      <c r="G105" t="str">
        <f>"Vo(n="&amp;FIXED(F105,0)&amp;")="</f>
        <v>Vo(n=13)=</v>
      </c>
      <c r="H105" s="16">
        <f>(C101/C102)*((1-(1+C102)^-F105)/(1-(1+C101)^-F105))</f>
        <v>0.98391156556267323</v>
      </c>
    </row>
    <row r="106" spans="1:26" x14ac:dyDescent="0.3">
      <c r="F106" t="s">
        <v>54</v>
      </c>
      <c r="H106" s="76">
        <f>F104+(F105-F104)*(H104-C103)/(H104-H105)</f>
        <v>11.010222451301493</v>
      </c>
      <c r="I106" s="77">
        <f>ROUND(H106,0)</f>
        <v>11</v>
      </c>
    </row>
    <row r="108" spans="1:26" x14ac:dyDescent="0.3">
      <c r="A108" s="8" t="s">
        <v>93</v>
      </c>
      <c r="B108" s="7"/>
      <c r="C108" s="7"/>
      <c r="D108" s="7"/>
      <c r="E108" s="7"/>
      <c r="F108" s="7"/>
      <c r="G108" s="7"/>
      <c r="H108" s="7"/>
      <c r="I108" s="7"/>
      <c r="J108" s="7"/>
    </row>
    <row r="109" spans="1:26" x14ac:dyDescent="0.3">
      <c r="B109" s="22" t="s">
        <v>94</v>
      </c>
      <c r="C109" s="7"/>
      <c r="D109" s="7"/>
      <c r="E109" s="7"/>
      <c r="F109" s="7"/>
      <c r="G109" s="7"/>
      <c r="H109" s="7"/>
      <c r="I109" s="7"/>
      <c r="J109" s="7"/>
    </row>
    <row r="111" spans="1:26" x14ac:dyDescent="0.3">
      <c r="B111" t="s">
        <v>45</v>
      </c>
      <c r="C111" s="70">
        <f>1.1202</f>
        <v>1.1202000000000001</v>
      </c>
      <c r="F111" t="s">
        <v>46</v>
      </c>
      <c r="G111" s="70">
        <f>1/C111</f>
        <v>0.8926977325477593</v>
      </c>
    </row>
    <row r="112" spans="1:26" x14ac:dyDescent="0.3">
      <c r="B112" t="s">
        <v>47</v>
      </c>
      <c r="C112" s="70">
        <v>0.95140000000000002</v>
      </c>
      <c r="G112" s="70"/>
      <c r="M112" s="9"/>
      <c r="N112" s="52">
        <v>1.56</v>
      </c>
      <c r="O112" s="53"/>
      <c r="P112" s="54"/>
      <c r="Q112" s="52">
        <v>1.67</v>
      </c>
      <c r="R112" s="55"/>
      <c r="S112" s="54"/>
      <c r="T112" s="52">
        <v>1.72</v>
      </c>
      <c r="U112" s="53"/>
      <c r="V112" s="54"/>
      <c r="W112" s="52">
        <v>1.48</v>
      </c>
      <c r="X112" s="53"/>
      <c r="Y112" s="54"/>
      <c r="Z112" s="52">
        <v>0.97</v>
      </c>
    </row>
    <row r="113" spans="1:26" x14ac:dyDescent="0.3">
      <c r="B113" t="s">
        <v>48</v>
      </c>
      <c r="C113" s="70">
        <v>1.0193000000000001</v>
      </c>
      <c r="F113" t="s">
        <v>49</v>
      </c>
      <c r="G113" s="70">
        <f>1/C113</f>
        <v>0.9810654370646521</v>
      </c>
      <c r="M113" s="9"/>
      <c r="N113" s="52">
        <v>1.56</v>
      </c>
      <c r="O113" s="53"/>
      <c r="P113" s="54"/>
      <c r="Q113" s="52">
        <v>1.67</v>
      </c>
      <c r="R113" s="10"/>
      <c r="S113" s="54"/>
      <c r="T113" s="52">
        <v>1.72</v>
      </c>
      <c r="V113" s="11" t="s">
        <v>0</v>
      </c>
      <c r="W113" s="52">
        <v>1.48</v>
      </c>
      <c r="X113" s="53"/>
      <c r="Y113" s="54"/>
      <c r="Z113" s="52">
        <v>0.97</v>
      </c>
    </row>
    <row r="114" spans="1:26" x14ac:dyDescent="0.3">
      <c r="B114" t="s">
        <v>50</v>
      </c>
      <c r="C114" s="70">
        <v>1.3585</v>
      </c>
      <c r="I114" t="s">
        <v>52</v>
      </c>
    </row>
    <row r="115" spans="1:26" x14ac:dyDescent="0.3">
      <c r="E115" s="79"/>
      <c r="I115" s="104">
        <f>(C112*C114)/(G111*G113)</f>
        <v>1.4757757930112341</v>
      </c>
    </row>
    <row r="116" spans="1:26" x14ac:dyDescent="0.3">
      <c r="B116" s="12" t="s">
        <v>51</v>
      </c>
      <c r="C116" s="78">
        <f>C111*C112*C113*C114</f>
        <v>1.4757757930112341</v>
      </c>
      <c r="E116" s="79"/>
      <c r="N116">
        <v>0.89270000000000005</v>
      </c>
    </row>
    <row r="117" spans="1:26" x14ac:dyDescent="0.3">
      <c r="N117">
        <f>1/N116</f>
        <v>1.1201971546992271</v>
      </c>
    </row>
    <row r="118" spans="1:26" x14ac:dyDescent="0.3">
      <c r="A118" s="8" t="s">
        <v>152</v>
      </c>
      <c r="B118" s="6"/>
      <c r="C118" s="7"/>
      <c r="D118" s="30"/>
      <c r="E118" s="30"/>
      <c r="F118" s="30"/>
      <c r="G118" s="30"/>
      <c r="H118" s="32"/>
      <c r="I118" s="33"/>
      <c r="J118" s="7"/>
      <c r="K118" s="7"/>
    </row>
    <row r="119" spans="1:26" ht="15" thickBot="1" x14ac:dyDescent="0.35">
      <c r="B119" s="22" t="s">
        <v>113</v>
      </c>
      <c r="C119" s="13"/>
      <c r="D119" s="7"/>
      <c r="E119" s="7"/>
      <c r="F119" s="7"/>
      <c r="G119" s="7"/>
      <c r="H119" s="34"/>
      <c r="I119" s="35"/>
    </row>
    <row r="120" spans="1:26" ht="15" thickBot="1" x14ac:dyDescent="0.35">
      <c r="A120" s="94"/>
      <c r="B120" s="94"/>
      <c r="C120" s="106"/>
      <c r="D120" s="107"/>
      <c r="E120" s="94"/>
      <c r="F120" s="94"/>
      <c r="G120" s="94"/>
      <c r="H120" s="94"/>
      <c r="I120" s="94"/>
      <c r="J120" s="94"/>
      <c r="M120" s="9"/>
      <c r="N120" s="56" t="s">
        <v>114</v>
      </c>
      <c r="P120" s="9"/>
      <c r="Q120" s="56" t="s">
        <v>116</v>
      </c>
      <c r="R120" s="10"/>
      <c r="S120" s="9"/>
      <c r="T120" s="56" t="s">
        <v>117</v>
      </c>
      <c r="V120" s="9"/>
      <c r="W120" s="56" t="s">
        <v>118</v>
      </c>
      <c r="Y120" s="9"/>
      <c r="Z120" s="56" t="s">
        <v>115</v>
      </c>
    </row>
    <row r="121" spans="1:26" x14ac:dyDescent="0.3">
      <c r="A121" s="94"/>
      <c r="B121" s="94"/>
      <c r="C121" s="114" t="s">
        <v>95</v>
      </c>
      <c r="D121" s="113">
        <v>6.5500000000000003E-2</v>
      </c>
      <c r="E121" s="112" t="s">
        <v>88</v>
      </c>
      <c r="F121" s="114">
        <v>8</v>
      </c>
      <c r="G121" s="108" t="s">
        <v>102</v>
      </c>
      <c r="H121" s="113">
        <v>-3.0000000000000001E-3</v>
      </c>
      <c r="I121" s="94"/>
      <c r="J121" s="94"/>
      <c r="M121" s="9"/>
      <c r="N121" s="56" t="s">
        <v>114</v>
      </c>
      <c r="P121" s="9"/>
      <c r="Q121" s="56" t="s">
        <v>116</v>
      </c>
      <c r="R121" s="10"/>
      <c r="S121" s="9"/>
      <c r="T121" s="56" t="s">
        <v>117</v>
      </c>
      <c r="V121" s="9"/>
      <c r="W121" s="56" t="s">
        <v>118</v>
      </c>
      <c r="Y121" s="11"/>
      <c r="Z121" s="56" t="s">
        <v>112</v>
      </c>
    </row>
    <row r="122" spans="1:26" x14ac:dyDescent="0.3">
      <c r="A122" s="94"/>
      <c r="B122" s="94"/>
      <c r="E122" s="108" t="s">
        <v>96</v>
      </c>
      <c r="F122" s="106">
        <v>6.6799999999999998E-2</v>
      </c>
      <c r="G122" s="109"/>
      <c r="H122" s="94"/>
      <c r="I122" s="106">
        <f>F122+H121</f>
        <v>6.3799999999999996E-2</v>
      </c>
      <c r="J122" s="94"/>
    </row>
    <row r="123" spans="1:26" x14ac:dyDescent="0.3">
      <c r="C123" s="16"/>
    </row>
    <row r="124" spans="1:26" x14ac:dyDescent="0.3">
      <c r="C124" s="110" t="s">
        <v>97</v>
      </c>
      <c r="D124" s="37" t="s">
        <v>20</v>
      </c>
      <c r="F124" s="37" t="s">
        <v>103</v>
      </c>
      <c r="G124" t="s">
        <v>98</v>
      </c>
      <c r="H124" t="s">
        <v>100</v>
      </c>
      <c r="I124" s="37" t="s">
        <v>103</v>
      </c>
    </row>
    <row r="125" spans="1:26" x14ac:dyDescent="0.3">
      <c r="C125" s="105">
        <v>1</v>
      </c>
      <c r="D125" s="17">
        <f>$D$121</f>
        <v>6.5500000000000003E-2</v>
      </c>
      <c r="F125" s="71">
        <f t="shared" ref="F125:F132" si="3">D125/(1+$F$122)^C125</f>
        <v>6.1398575178102745E-2</v>
      </c>
      <c r="G125" s="71">
        <f>C125*F125</f>
        <v>6.1398575178102745E-2</v>
      </c>
      <c r="H125" s="71">
        <f>C125*G125</f>
        <v>6.1398575178102745E-2</v>
      </c>
      <c r="I125" s="70">
        <f>D125/(1+$I$122)^C125</f>
        <v>6.1571724008272231E-2</v>
      </c>
      <c r="J125" s="70"/>
    </row>
    <row r="126" spans="1:26" x14ac:dyDescent="0.3">
      <c r="C126" s="105">
        <v>2</v>
      </c>
      <c r="D126" s="17">
        <f t="shared" ref="D126:D131" si="4">$D$121</f>
        <v>6.5500000000000003E-2</v>
      </c>
      <c r="F126" s="71">
        <f t="shared" si="3"/>
        <v>5.7553969983223416E-2</v>
      </c>
      <c r="G126" s="71">
        <f t="shared" ref="G126:G132" si="5">C126*F126</f>
        <v>0.11510793996644683</v>
      </c>
      <c r="H126" s="71">
        <f>C126*G126</f>
        <v>0.23021587993289366</v>
      </c>
      <c r="I126" s="70">
        <f t="shared" ref="I126:I132" si="6">D126/(1+$I$122)^C126</f>
        <v>5.7879041180928958E-2</v>
      </c>
      <c r="J126" s="70"/>
    </row>
    <row r="127" spans="1:26" x14ac:dyDescent="0.3">
      <c r="C127" s="105">
        <v>3</v>
      </c>
      <c r="D127" s="17">
        <f t="shared" si="4"/>
        <v>6.5500000000000003E-2</v>
      </c>
      <c r="F127" s="71">
        <f t="shared" si="3"/>
        <v>5.3950103096384906E-2</v>
      </c>
      <c r="G127" s="71">
        <f t="shared" si="5"/>
        <v>0.16185030928915473</v>
      </c>
      <c r="H127" s="71">
        <f t="shared" ref="H127:H132" si="7">C127*G127</f>
        <v>0.48555092786746418</v>
      </c>
      <c r="I127" s="70">
        <f t="shared" si="6"/>
        <v>5.4407822129092828E-2</v>
      </c>
      <c r="J127" s="70"/>
    </row>
    <row r="128" spans="1:26" x14ac:dyDescent="0.3">
      <c r="C128" s="105">
        <v>4</v>
      </c>
      <c r="D128" s="17">
        <f t="shared" si="4"/>
        <v>6.5500000000000003E-2</v>
      </c>
      <c r="F128" s="71">
        <f t="shared" si="3"/>
        <v>5.0571900165340182E-2</v>
      </c>
      <c r="G128" s="71">
        <f t="shared" si="5"/>
        <v>0.20228760066136073</v>
      </c>
      <c r="H128" s="71">
        <f t="shared" si="7"/>
        <v>0.80915040264544291</v>
      </c>
      <c r="I128" s="70">
        <f t="shared" si="6"/>
        <v>5.1144784855323207E-2</v>
      </c>
      <c r="J128" s="70"/>
    </row>
    <row r="129" spans="1:10" x14ac:dyDescent="0.3">
      <c r="C129" s="105">
        <v>5</v>
      </c>
      <c r="D129" s="17">
        <f t="shared" si="4"/>
        <v>6.5500000000000003E-2</v>
      </c>
      <c r="F129" s="71">
        <f t="shared" si="3"/>
        <v>4.7405230751162528E-2</v>
      </c>
      <c r="G129" s="71">
        <f t="shared" si="5"/>
        <v>0.23702615375581265</v>
      </c>
      <c r="H129" s="71">
        <f t="shared" si="7"/>
        <v>1.1851307687790633</v>
      </c>
      <c r="I129" s="70">
        <f t="shared" si="6"/>
        <v>4.8077443932433919E-2</v>
      </c>
      <c r="J129" s="70"/>
    </row>
    <row r="130" spans="1:10" x14ac:dyDescent="0.3">
      <c r="C130" s="105">
        <v>6</v>
      </c>
      <c r="D130" s="17">
        <f t="shared" si="4"/>
        <v>6.5500000000000003E-2</v>
      </c>
      <c r="F130" s="71">
        <f t="shared" si="3"/>
        <v>4.4436849223061986E-2</v>
      </c>
      <c r="G130" s="71">
        <f t="shared" si="5"/>
        <v>0.26662109533837192</v>
      </c>
      <c r="H130" s="71">
        <f t="shared" si="7"/>
        <v>1.5997265720302316</v>
      </c>
      <c r="I130" s="70">
        <f t="shared" si="6"/>
        <v>4.5194062730244323E-2</v>
      </c>
      <c r="J130" s="70"/>
    </row>
    <row r="131" spans="1:10" x14ac:dyDescent="0.3">
      <c r="C131" s="105">
        <v>7</v>
      </c>
      <c r="D131" s="17">
        <f t="shared" si="4"/>
        <v>6.5500000000000003E-2</v>
      </c>
      <c r="F131" s="71">
        <f t="shared" si="3"/>
        <v>4.165433935420134E-2</v>
      </c>
      <c r="G131" s="71">
        <f t="shared" si="5"/>
        <v>0.2915803754794094</v>
      </c>
      <c r="H131" s="71">
        <f t="shared" si="7"/>
        <v>2.0410626283558657</v>
      </c>
      <c r="I131" s="70">
        <f t="shared" si="6"/>
        <v>4.2483608507467872E-2</v>
      </c>
      <c r="J131" s="70"/>
    </row>
    <row r="132" spans="1:10" x14ac:dyDescent="0.3">
      <c r="C132" s="105">
        <v>8</v>
      </c>
      <c r="D132" s="17">
        <f>$D$121+1</f>
        <v>1.0655000000000001</v>
      </c>
      <c r="F132" s="71">
        <f t="shared" si="3"/>
        <v>0.63516915226104642</v>
      </c>
      <c r="G132" s="71">
        <f t="shared" si="5"/>
        <v>5.0813532180883714</v>
      </c>
      <c r="H132" s="71">
        <f t="shared" si="7"/>
        <v>40.650825744706971</v>
      </c>
      <c r="I132" s="70">
        <f t="shared" si="6"/>
        <v>0.64964120938629943</v>
      </c>
      <c r="J132" s="70"/>
    </row>
    <row r="133" spans="1:10" x14ac:dyDescent="0.3">
      <c r="C133" s="105"/>
      <c r="D133" s="17"/>
      <c r="F133" s="71"/>
      <c r="G133" s="71"/>
      <c r="H133" s="71"/>
      <c r="I133" s="70"/>
      <c r="J133" s="70"/>
    </row>
    <row r="134" spans="1:10" x14ac:dyDescent="0.3">
      <c r="C134" s="105"/>
      <c r="F134" s="38" t="s">
        <v>105</v>
      </c>
      <c r="G134" s="38" t="s">
        <v>99</v>
      </c>
      <c r="H134" s="38" t="s">
        <v>101</v>
      </c>
      <c r="I134" s="38" t="s">
        <v>104</v>
      </c>
    </row>
    <row r="135" spans="1:10" x14ac:dyDescent="0.3">
      <c r="C135" s="16"/>
      <c r="F135" s="110">
        <f>SUM(F125:F132)</f>
        <v>0.9921401200125235</v>
      </c>
      <c r="G135" s="103">
        <f>SUM(G125:G134)/F135</f>
        <v>6.4680634703856432</v>
      </c>
      <c r="H135" s="111">
        <f>G135+SUM(H125:H132)/F135</f>
        <v>53.903965466670172</v>
      </c>
      <c r="I135" s="110">
        <f>SUM(I125:I132)</f>
        <v>1.0103996967300628</v>
      </c>
    </row>
    <row r="136" spans="1:10" x14ac:dyDescent="0.3">
      <c r="C136" s="16"/>
      <c r="D136" t="s">
        <v>119</v>
      </c>
      <c r="F136" s="110">
        <f>D121/F122+((F122-D121)/F122)*(1+F122)^-F121</f>
        <v>0.9921401200125235</v>
      </c>
      <c r="G136" s="103">
        <f>(1+F122)/F122-((1+F122)-F121*(F122-D121))/(D121*(1+F122)^F121+(F122-D121))</f>
        <v>6.4680634703856423</v>
      </c>
      <c r="H136" s="111">
        <f>(2*D121*(1+F122)^2-(D121*((2+F122+2*F122*F121)+F122*(3+2*F122+3*F122*F121))+F121*F122^2*(F121*(D121-F122)-F122))*(1+F122)^-F121)/(F122^2*(D121+(F122-D121)*(1+F122)^-F121))</f>
        <v>53.903965466670137</v>
      </c>
      <c r="I136" s="110"/>
    </row>
    <row r="137" spans="1:10" x14ac:dyDescent="0.3">
      <c r="C137" s="16"/>
      <c r="F137" s="110"/>
      <c r="G137" s="103"/>
      <c r="H137" s="111"/>
      <c r="I137" s="110"/>
    </row>
    <row r="138" spans="1:10" x14ac:dyDescent="0.3">
      <c r="B138" t="s">
        <v>106</v>
      </c>
      <c r="C138" s="72">
        <f>(I135-F135)/F135</f>
        <v>1.8404231770517272E-2</v>
      </c>
      <c r="D138" t="s">
        <v>109</v>
      </c>
    </row>
    <row r="139" spans="1:10" x14ac:dyDescent="0.3">
      <c r="B139" t="s">
        <v>107</v>
      </c>
      <c r="C139" s="72">
        <f>-G135*H121/(1+F122)</f>
        <v>1.818915486610136E-2</v>
      </c>
      <c r="D139" t="s">
        <v>110</v>
      </c>
    </row>
    <row r="140" spans="1:10" x14ac:dyDescent="0.3">
      <c r="B140" t="s">
        <v>108</v>
      </c>
      <c r="C140" s="72">
        <f>-G135*H121/(1+F122)+(H135/2)*(H121/(1+F122))^2</f>
        <v>1.8402295972162499E-2</v>
      </c>
      <c r="D140" t="s">
        <v>111</v>
      </c>
    </row>
    <row r="141" spans="1:10" x14ac:dyDescent="0.3">
      <c r="C141" s="16"/>
    </row>
    <row r="144" spans="1:10" x14ac:dyDescent="0.3">
      <c r="A144" s="5" t="s">
        <v>153</v>
      </c>
      <c r="B144" s="6"/>
      <c r="C144" s="7"/>
      <c r="D144" s="7"/>
      <c r="E144" s="7"/>
      <c r="F144" s="7"/>
      <c r="G144" s="7"/>
      <c r="H144" s="7"/>
      <c r="I144" s="7"/>
      <c r="J144" s="7"/>
    </row>
    <row r="145" spans="1:26" x14ac:dyDescent="0.3">
      <c r="B145" s="8" t="s">
        <v>120</v>
      </c>
      <c r="C145" s="7"/>
      <c r="D145" s="7"/>
      <c r="E145" s="7"/>
      <c r="F145" s="7"/>
      <c r="G145" s="7"/>
      <c r="H145" s="7"/>
      <c r="I145" s="7"/>
      <c r="J145" s="7"/>
    </row>
    <row r="147" spans="1:26" x14ac:dyDescent="0.3">
      <c r="F147" t="s">
        <v>57</v>
      </c>
    </row>
    <row r="148" spans="1:26" x14ac:dyDescent="0.3">
      <c r="B148" t="s">
        <v>13</v>
      </c>
      <c r="C148">
        <v>2.0499999999999998</v>
      </c>
      <c r="D148">
        <v>2.25</v>
      </c>
      <c r="M148" s="9"/>
      <c r="N148" s="15" t="s">
        <v>44</v>
      </c>
      <c r="P148" s="9"/>
      <c r="Q148" s="15" t="s">
        <v>123</v>
      </c>
      <c r="R148" s="10"/>
      <c r="S148" s="9"/>
      <c r="T148" s="15" t="s">
        <v>15</v>
      </c>
      <c r="V148" s="9"/>
      <c r="W148" s="15" t="s">
        <v>124</v>
      </c>
      <c r="Y148" s="9"/>
      <c r="Z148" s="15" t="s">
        <v>125</v>
      </c>
    </row>
    <row r="149" spans="1:26" x14ac:dyDescent="0.3">
      <c r="B149" t="s">
        <v>121</v>
      </c>
      <c r="C149" s="17">
        <v>3.7999999999999999E-2</v>
      </c>
      <c r="D149" s="17">
        <v>3.9E-2</v>
      </c>
      <c r="M149" s="9"/>
      <c r="N149" s="15" t="s">
        <v>44</v>
      </c>
      <c r="P149" s="11" t="s">
        <v>0</v>
      </c>
      <c r="Q149" s="15" t="s">
        <v>123</v>
      </c>
      <c r="R149" s="10"/>
      <c r="S149" s="9"/>
      <c r="T149" s="15" t="s">
        <v>15</v>
      </c>
      <c r="V149" s="9"/>
      <c r="W149" s="15" t="s">
        <v>124</v>
      </c>
      <c r="Y149" s="9"/>
      <c r="Z149" s="15" t="s">
        <v>125</v>
      </c>
    </row>
    <row r="150" spans="1:26" x14ac:dyDescent="0.3">
      <c r="B150" t="s">
        <v>122</v>
      </c>
      <c r="C150" s="17">
        <v>3.2000000000000001E-2</v>
      </c>
      <c r="D150" s="17">
        <v>3.5999999999999997E-2</v>
      </c>
    </row>
    <row r="151" spans="1:26" ht="15" thickBot="1" x14ac:dyDescent="0.35"/>
    <row r="152" spans="1:26" ht="15" thickBot="1" x14ac:dyDescent="0.35">
      <c r="B152" t="s">
        <v>14</v>
      </c>
      <c r="C152" s="73">
        <f>C148*(1+D149/3)/(1+C150/3)</f>
        <v>2.0547328496042212</v>
      </c>
      <c r="D152" s="74">
        <f>D148*(1+C149/3)/(1+D150/3)</f>
        <v>2.2514822134387349</v>
      </c>
    </row>
    <row r="154" spans="1:26" x14ac:dyDescent="0.3">
      <c r="A154" s="5" t="s">
        <v>126</v>
      </c>
      <c r="B154" s="6"/>
      <c r="C154" s="7"/>
      <c r="D154" s="7"/>
      <c r="E154" s="7"/>
      <c r="F154" s="7"/>
      <c r="G154" s="7"/>
      <c r="H154" s="7"/>
      <c r="I154" s="7"/>
      <c r="J154" s="7"/>
    </row>
    <row r="155" spans="1:26" x14ac:dyDescent="0.3">
      <c r="B155" s="8" t="s">
        <v>128</v>
      </c>
      <c r="C155" s="7"/>
      <c r="D155" s="7"/>
      <c r="E155" s="7"/>
      <c r="F155" s="7"/>
      <c r="G155" s="7"/>
      <c r="H155" s="7"/>
      <c r="I155" s="7"/>
      <c r="J155" s="7"/>
    </row>
    <row r="157" spans="1:26" x14ac:dyDescent="0.3">
      <c r="F157" t="s">
        <v>22</v>
      </c>
      <c r="G157" t="s">
        <v>21</v>
      </c>
      <c r="H157" t="s">
        <v>20</v>
      </c>
    </row>
    <row r="158" spans="1:26" x14ac:dyDescent="0.3">
      <c r="E158">
        <v>0</v>
      </c>
      <c r="H158" s="17">
        <f>-C164</f>
        <v>-1.0443</v>
      </c>
    </row>
    <row r="159" spans="1:26" x14ac:dyDescent="0.3">
      <c r="B159" t="s">
        <v>19</v>
      </c>
      <c r="C159" s="17">
        <v>0.06</v>
      </c>
      <c r="E159">
        <v>1</v>
      </c>
      <c r="F159" s="17">
        <f>C159</f>
        <v>0.06</v>
      </c>
      <c r="G159" s="17"/>
      <c r="H159" s="17">
        <f t="shared" ref="H159:H167" si="8">F159+G159</f>
        <v>0.06</v>
      </c>
      <c r="I159" s="16"/>
      <c r="J159" s="40">
        <f t="shared" ref="J159:J167" si="9">H159/(1+$D$173)^E159</f>
        <v>5.7692307692307689E-2</v>
      </c>
      <c r="M159" s="9"/>
      <c r="N159" s="31">
        <v>0.04</v>
      </c>
      <c r="P159" s="9"/>
      <c r="Q159" s="31">
        <v>4.3999999999999997E-2</v>
      </c>
      <c r="R159" s="10"/>
      <c r="S159" s="9"/>
      <c r="T159" s="31">
        <v>4.8000000000000001E-2</v>
      </c>
      <c r="V159" s="9"/>
      <c r="W159" s="31">
        <v>0.05</v>
      </c>
      <c r="Y159" s="9"/>
      <c r="Z159" s="31">
        <v>5.1999999999999998E-2</v>
      </c>
    </row>
    <row r="160" spans="1:26" x14ac:dyDescent="0.3">
      <c r="B160" t="s">
        <v>18</v>
      </c>
      <c r="C160" s="17"/>
      <c r="E160">
        <v>2</v>
      </c>
      <c r="F160" s="17">
        <f>F159</f>
        <v>0.06</v>
      </c>
      <c r="G160" s="17">
        <f>1/3</f>
        <v>0.33333333333333331</v>
      </c>
      <c r="H160" s="17">
        <f t="shared" si="8"/>
        <v>0.39333333333333331</v>
      </c>
      <c r="I160" s="16"/>
      <c r="J160" s="40">
        <f t="shared" si="9"/>
        <v>0.36365877712031552</v>
      </c>
      <c r="M160" s="9"/>
      <c r="N160" s="31">
        <v>0.04</v>
      </c>
      <c r="P160" s="9"/>
      <c r="Q160" s="31">
        <v>4.3999999999999997E-2</v>
      </c>
      <c r="R160" s="10"/>
      <c r="S160" s="9"/>
      <c r="T160" s="31">
        <v>4.8000000000000001E-2</v>
      </c>
      <c r="V160" s="11" t="s">
        <v>0</v>
      </c>
      <c r="W160" s="31">
        <v>0.05</v>
      </c>
      <c r="Y160" s="9"/>
      <c r="Z160" s="31">
        <v>5.1999999999999998E-2</v>
      </c>
    </row>
    <row r="161" spans="1:36" x14ac:dyDescent="0.3">
      <c r="B161" t="s">
        <v>17</v>
      </c>
      <c r="C161">
        <v>9</v>
      </c>
      <c r="E161">
        <v>3</v>
      </c>
      <c r="F161" s="17">
        <f>C159*(1-G160)</f>
        <v>0.04</v>
      </c>
      <c r="H161" s="17">
        <f t="shared" si="8"/>
        <v>0.04</v>
      </c>
      <c r="I161" s="16"/>
      <c r="J161" s="40">
        <f t="shared" si="9"/>
        <v>3.5559854346836596E-2</v>
      </c>
    </row>
    <row r="162" spans="1:36" x14ac:dyDescent="0.3">
      <c r="B162" t="s">
        <v>127</v>
      </c>
      <c r="C162" s="16"/>
      <c r="E162">
        <v>4</v>
      </c>
      <c r="F162" s="17">
        <f>C159*(1-G160)</f>
        <v>0.04</v>
      </c>
      <c r="G162" s="17"/>
      <c r="H162" s="17">
        <f t="shared" si="8"/>
        <v>0.04</v>
      </c>
      <c r="I162" s="16"/>
      <c r="J162" s="40">
        <f t="shared" si="9"/>
        <v>3.4192167641189028E-2</v>
      </c>
    </row>
    <row r="163" spans="1:36" x14ac:dyDescent="0.3">
      <c r="E163">
        <v>5</v>
      </c>
      <c r="F163" s="17">
        <f>F162</f>
        <v>0.04</v>
      </c>
      <c r="G163" s="17">
        <f>G160</f>
        <v>0.33333333333333331</v>
      </c>
      <c r="H163" s="17">
        <f t="shared" si="8"/>
        <v>0.37333333333333329</v>
      </c>
      <c r="I163" s="16"/>
      <c r="J163" s="40">
        <f t="shared" si="9"/>
        <v>0.30685278652349124</v>
      </c>
    </row>
    <row r="164" spans="1:36" x14ac:dyDescent="0.3">
      <c r="B164" t="s">
        <v>16</v>
      </c>
      <c r="C164" s="16">
        <v>1.0443</v>
      </c>
      <c r="E164">
        <v>6</v>
      </c>
      <c r="F164" s="17">
        <f>C159*(1-G160-G163)</f>
        <v>2.0000000000000004E-2</v>
      </c>
      <c r="H164" s="17">
        <f t="shared" si="8"/>
        <v>2.0000000000000004E-2</v>
      </c>
      <c r="I164" s="16"/>
      <c r="J164" s="40">
        <f t="shared" si="9"/>
        <v>1.5806290514602916E-2</v>
      </c>
    </row>
    <row r="165" spans="1:36" x14ac:dyDescent="0.3">
      <c r="E165">
        <v>7</v>
      </c>
      <c r="F165" s="17">
        <f>C159/3</f>
        <v>0.02</v>
      </c>
      <c r="G165" s="17"/>
      <c r="H165" s="17">
        <f t="shared" si="8"/>
        <v>0.02</v>
      </c>
      <c r="I165" s="16"/>
      <c r="J165" s="40">
        <f t="shared" si="9"/>
        <v>1.5198356264041266E-2</v>
      </c>
    </row>
    <row r="166" spans="1:36" x14ac:dyDescent="0.3">
      <c r="E166">
        <v>8</v>
      </c>
      <c r="F166" s="17">
        <f>F165</f>
        <v>0.02</v>
      </c>
      <c r="G166" s="17"/>
      <c r="H166" s="17">
        <f t="shared" si="8"/>
        <v>0.02</v>
      </c>
      <c r="I166" s="16"/>
      <c r="J166" s="40">
        <f t="shared" si="9"/>
        <v>1.4613804100039676E-2</v>
      </c>
    </row>
    <row r="167" spans="1:36" ht="15" thickBot="1" x14ac:dyDescent="0.35">
      <c r="E167">
        <v>9</v>
      </c>
      <c r="F167" s="17">
        <f>F166</f>
        <v>0.02</v>
      </c>
      <c r="G167" s="17">
        <f>G163</f>
        <v>0.33333333333333331</v>
      </c>
      <c r="H167" s="17">
        <f t="shared" si="8"/>
        <v>0.35333333333333333</v>
      </c>
      <c r="I167" s="16"/>
      <c r="J167" s="40">
        <f t="shared" si="9"/>
        <v>0.24824731323785343</v>
      </c>
    </row>
    <row r="168" spans="1:36" ht="15" thickBot="1" x14ac:dyDescent="0.35">
      <c r="AE168" s="60" t="s">
        <v>5</v>
      </c>
      <c r="AF168" s="61" t="s">
        <v>9</v>
      </c>
      <c r="AG168" s="61" t="s">
        <v>10</v>
      </c>
      <c r="AH168" s="62" t="s">
        <v>24</v>
      </c>
      <c r="AI168" s="63" t="s">
        <v>25</v>
      </c>
      <c r="AJ168" s="42" t="s">
        <v>26</v>
      </c>
    </row>
    <row r="169" spans="1:36" ht="15" thickBot="1" x14ac:dyDescent="0.35">
      <c r="G169" t="s">
        <v>11</v>
      </c>
      <c r="H169" s="39">
        <f>IRR(H158:H167)</f>
        <v>5.0004875911347391E-2</v>
      </c>
      <c r="I169" s="16"/>
      <c r="J169" s="16">
        <f>SUM(J159:J167)</f>
        <v>1.0918216574406774</v>
      </c>
      <c r="AE169" s="64">
        <v>156</v>
      </c>
      <c r="AF169" s="58">
        <v>500</v>
      </c>
      <c r="AG169" s="57">
        <v>400</v>
      </c>
      <c r="AH169" s="59">
        <v>12100</v>
      </c>
      <c r="AI169" s="65"/>
    </row>
    <row r="170" spans="1:36" x14ac:dyDescent="0.3">
      <c r="B170" t="s">
        <v>23</v>
      </c>
      <c r="AE170" s="64">
        <v>155</v>
      </c>
      <c r="AF170" s="58">
        <v>300</v>
      </c>
      <c r="AG170" s="57">
        <v>250</v>
      </c>
      <c r="AH170" s="57"/>
      <c r="AI170" s="65"/>
    </row>
    <row r="171" spans="1:36" ht="15" thickBot="1" x14ac:dyDescent="0.35">
      <c r="C171" t="s">
        <v>129</v>
      </c>
      <c r="AE171" s="66">
        <v>154</v>
      </c>
      <c r="AF171" s="67">
        <v>250</v>
      </c>
      <c r="AG171" s="68">
        <v>350</v>
      </c>
      <c r="AH171" s="68"/>
      <c r="AI171" s="69">
        <v>12300</v>
      </c>
    </row>
    <row r="172" spans="1:36" ht="15" thickBot="1" x14ac:dyDescent="0.35">
      <c r="C172" t="s">
        <v>130</v>
      </c>
      <c r="G172" t="s">
        <v>23</v>
      </c>
      <c r="H172" s="41">
        <f>C159+(D173-C159)*(100%-C164)/(100%-J169)</f>
        <v>5.0350860301422759E-2</v>
      </c>
    </row>
    <row r="173" spans="1:36" x14ac:dyDescent="0.3">
      <c r="C173" t="s">
        <v>154</v>
      </c>
      <c r="D173" s="17">
        <v>0.04</v>
      </c>
    </row>
    <row r="175" spans="1:36" x14ac:dyDescent="0.3">
      <c r="A175" s="8" t="s">
        <v>137</v>
      </c>
      <c r="B175" s="6"/>
      <c r="C175" s="7"/>
      <c r="D175" s="30"/>
      <c r="E175" s="30"/>
      <c r="F175" s="30"/>
      <c r="G175" s="30"/>
      <c r="H175" s="32"/>
      <c r="I175" s="33"/>
      <c r="J175" s="7"/>
    </row>
    <row r="176" spans="1:36" x14ac:dyDescent="0.3">
      <c r="B176" s="22" t="s">
        <v>138</v>
      </c>
      <c r="C176" s="13"/>
      <c r="D176" s="7"/>
      <c r="E176" s="7"/>
      <c r="F176" s="7"/>
      <c r="G176" s="7"/>
      <c r="H176" s="34"/>
      <c r="I176" s="35"/>
    </row>
    <row r="177" spans="1:26" x14ac:dyDescent="0.3">
      <c r="B177" t="s">
        <v>134</v>
      </c>
      <c r="C177" s="17">
        <v>1.6500000000000001E-2</v>
      </c>
      <c r="M177" s="9"/>
      <c r="N177" s="26">
        <v>-80000</v>
      </c>
      <c r="P177" s="9"/>
      <c r="Q177" s="26">
        <v>-380000</v>
      </c>
      <c r="R177" s="10"/>
      <c r="S177" s="9"/>
      <c r="T177" s="26">
        <v>-770000</v>
      </c>
      <c r="V177" s="9"/>
      <c r="W177" s="26">
        <v>-1000000</v>
      </c>
      <c r="Y177" s="9"/>
      <c r="Z177" s="26">
        <v>90000</v>
      </c>
    </row>
    <row r="178" spans="1:26" ht="15.6" x14ac:dyDescent="0.35">
      <c r="B178" t="s">
        <v>135</v>
      </c>
      <c r="C178" s="16">
        <f>(((1+1.8%)^3)/(1+1.6%)^2)-1</f>
        <v>2.2011818773637559E-2</v>
      </c>
      <c r="M178" s="9"/>
      <c r="N178" s="26">
        <v>-80000</v>
      </c>
      <c r="P178" s="9"/>
      <c r="Q178" s="26">
        <v>-380000</v>
      </c>
      <c r="R178" s="10"/>
      <c r="S178" s="9"/>
      <c r="T178" s="26">
        <v>-770000</v>
      </c>
      <c r="V178" s="11" t="s">
        <v>0</v>
      </c>
      <c r="W178" s="26">
        <v>-1000000</v>
      </c>
      <c r="Y178" s="9"/>
      <c r="Z178" s="26">
        <v>90000</v>
      </c>
    </row>
    <row r="179" spans="1:26" ht="15" thickBot="1" x14ac:dyDescent="0.35"/>
    <row r="180" spans="1:26" ht="15" thickBot="1" x14ac:dyDescent="0.35">
      <c r="B180" s="116" t="s">
        <v>136</v>
      </c>
      <c r="C180" s="121">
        <f>190000000*((C177-C178)/(1+C177))</f>
        <v>-1030246.4997453381</v>
      </c>
    </row>
    <row r="182" spans="1:26" x14ac:dyDescent="0.3">
      <c r="A182" s="8" t="s">
        <v>131</v>
      </c>
      <c r="B182" s="6"/>
      <c r="C182" s="7"/>
      <c r="D182" s="30"/>
      <c r="E182" s="30"/>
      <c r="F182" s="30"/>
      <c r="G182" s="7"/>
      <c r="H182" s="7"/>
      <c r="I182" s="7"/>
      <c r="J182" s="7"/>
    </row>
    <row r="184" spans="1:26" x14ac:dyDescent="0.3">
      <c r="B184" t="s">
        <v>132</v>
      </c>
      <c r="C184">
        <v>18.89</v>
      </c>
      <c r="D184">
        <v>12</v>
      </c>
      <c r="E184" t="s">
        <v>43</v>
      </c>
      <c r="F184" s="36">
        <f>C184*D184*1000/C187</f>
        <v>7288.7459807073956</v>
      </c>
    </row>
    <row r="185" spans="1:26" x14ac:dyDescent="0.3">
      <c r="B185" t="s">
        <v>42</v>
      </c>
      <c r="C185">
        <v>79.44</v>
      </c>
      <c r="D185" s="115">
        <v>450000</v>
      </c>
      <c r="E185" t="s">
        <v>41</v>
      </c>
      <c r="F185" s="36">
        <f>C185*D185/C188</f>
        <v>224830.18867924527</v>
      </c>
    </row>
    <row r="186" spans="1:26" x14ac:dyDescent="0.3">
      <c r="B186" t="s">
        <v>12</v>
      </c>
      <c r="C186">
        <v>0.96930000000000005</v>
      </c>
    </row>
    <row r="187" spans="1:26" x14ac:dyDescent="0.3">
      <c r="B187" t="s">
        <v>40</v>
      </c>
      <c r="C187" s="14">
        <v>31.1</v>
      </c>
      <c r="D187" t="s">
        <v>56</v>
      </c>
      <c r="M187" s="9"/>
      <c r="N187" s="26">
        <v>60000</v>
      </c>
      <c r="P187" s="9"/>
      <c r="Q187" s="26">
        <v>110000</v>
      </c>
      <c r="R187" s="10"/>
      <c r="S187" s="9"/>
      <c r="T187" s="26">
        <v>230000</v>
      </c>
      <c r="V187" s="9"/>
      <c r="W187" s="26">
        <v>320000</v>
      </c>
      <c r="Y187" s="9"/>
      <c r="Z187" s="26">
        <v>350000</v>
      </c>
    </row>
    <row r="188" spans="1:26" x14ac:dyDescent="0.3">
      <c r="B188" t="s">
        <v>39</v>
      </c>
      <c r="C188">
        <v>159</v>
      </c>
      <c r="D188" t="s">
        <v>55</v>
      </c>
      <c r="M188" s="9"/>
      <c r="N188" s="26">
        <v>60000</v>
      </c>
      <c r="P188" s="9"/>
      <c r="Q188" s="26">
        <v>110000</v>
      </c>
      <c r="R188" s="10"/>
      <c r="S188" s="9"/>
      <c r="T188" s="26">
        <v>230000</v>
      </c>
      <c r="V188" s="9"/>
      <c r="W188" s="26">
        <v>320000</v>
      </c>
      <c r="Y188" s="11" t="s">
        <v>0</v>
      </c>
      <c r="Z188" s="26">
        <v>350000</v>
      </c>
    </row>
    <row r="189" spans="1:26" x14ac:dyDescent="0.3">
      <c r="B189" t="s">
        <v>133</v>
      </c>
      <c r="C189" s="43">
        <v>7738</v>
      </c>
      <c r="D189" s="37">
        <v>15</v>
      </c>
      <c r="E189" t="s">
        <v>38</v>
      </c>
      <c r="F189">
        <f>C189*D189</f>
        <v>116070</v>
      </c>
    </row>
    <row r="191" spans="1:26" ht="15" thickBot="1" x14ac:dyDescent="0.35">
      <c r="F191" s="36">
        <f>F184+F185+F189</f>
        <v>348188.93465995265</v>
      </c>
      <c r="G191" t="s">
        <v>37</v>
      </c>
    </row>
    <row r="192" spans="1:26" ht="15" thickBot="1" x14ac:dyDescent="0.35">
      <c r="F192" s="122">
        <f>F191/C186</f>
        <v>359216.89328376419</v>
      </c>
      <c r="G192" t="s">
        <v>36</v>
      </c>
    </row>
  </sheetData>
  <mergeCells count="24">
    <mergeCell ref="C70:G70"/>
    <mergeCell ref="C71:D71"/>
    <mergeCell ref="F71:G71"/>
    <mergeCell ref="C52:G52"/>
    <mergeCell ref="C53:D53"/>
    <mergeCell ref="F53:G53"/>
    <mergeCell ref="C61:G61"/>
    <mergeCell ref="C62:D62"/>
    <mergeCell ref="F62:G62"/>
    <mergeCell ref="C22:G22"/>
    <mergeCell ref="C23:D23"/>
    <mergeCell ref="F23:G23"/>
    <mergeCell ref="C43:G43"/>
    <mergeCell ref="C44:D44"/>
    <mergeCell ref="F44:G44"/>
    <mergeCell ref="C31:G31"/>
    <mergeCell ref="C32:D32"/>
    <mergeCell ref="F32:G32"/>
    <mergeCell ref="C3:G3"/>
    <mergeCell ref="C4:D4"/>
    <mergeCell ref="F4:G4"/>
    <mergeCell ref="C13:G13"/>
    <mergeCell ref="C14:D14"/>
    <mergeCell ref="F14:G14"/>
  </mergeCells>
  <pageMargins left="0.7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r:id="rId5">
            <anchor moveWithCells="1">
              <from>
                <xdr:col>9</xdr:col>
                <xdr:colOff>541020</xdr:colOff>
                <xdr:row>126</xdr:row>
                <xdr:rowOff>83820</xdr:rowOff>
              </from>
              <to>
                <xdr:col>16</xdr:col>
                <xdr:colOff>411480</xdr:colOff>
                <xdr:row>129</xdr:row>
                <xdr:rowOff>175260</xdr:rowOff>
              </to>
            </anchor>
          </objectPr>
        </oleObject>
      </mc:Choice>
      <mc:Fallback>
        <oleObject shapeId="1025" r:id="rId4"/>
      </mc:Fallback>
    </mc:AlternateContent>
    <mc:AlternateContent xmlns:mc="http://schemas.openxmlformats.org/markup-compatibility/2006">
      <mc:Choice Requires="x14">
        <oleObject shapeId="1026" r:id="rId6">
          <objectPr defaultSize="0" autoPict="0" r:id="rId7">
            <anchor moveWithCells="1">
              <from>
                <xdr:col>9</xdr:col>
                <xdr:colOff>533400</xdr:colOff>
                <xdr:row>122</xdr:row>
                <xdr:rowOff>15240</xdr:rowOff>
              </from>
              <to>
                <xdr:col>16</xdr:col>
                <xdr:colOff>213360</xdr:colOff>
                <xdr:row>126</xdr:row>
                <xdr:rowOff>0</xdr:rowOff>
              </to>
            </anchor>
          </objectPr>
        </oleObject>
      </mc:Choice>
      <mc:Fallback>
        <oleObject shapeId="102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8E45E-5038-4965-8D58-0797C997E2E3}">
  <dimension ref="A1:N25"/>
  <sheetViews>
    <sheetView workbookViewId="0">
      <selection activeCell="E23" sqref="E23"/>
    </sheetView>
  </sheetViews>
  <sheetFormatPr baseColWidth="10" defaultRowHeight="14.4" x14ac:dyDescent="0.3"/>
  <cols>
    <col min="2" max="2" width="31" customWidth="1"/>
    <col min="4" max="4" width="2.21875" customWidth="1"/>
    <col min="5" max="14" width="4.88671875" customWidth="1"/>
  </cols>
  <sheetData>
    <row r="1" spans="1:14" ht="15" thickBot="1" x14ac:dyDescent="0.35">
      <c r="A1" s="126"/>
      <c r="B1" s="128" t="s">
        <v>184</v>
      </c>
      <c r="C1" s="127"/>
      <c r="D1" s="127"/>
      <c r="E1" s="129"/>
      <c r="F1" s="126"/>
      <c r="G1" s="126"/>
    </row>
    <row r="5" spans="1:14" x14ac:dyDescent="0.3">
      <c r="C5" s="37" t="s">
        <v>156</v>
      </c>
      <c r="E5" s="123" t="s">
        <v>157</v>
      </c>
      <c r="F5" s="123" t="s">
        <v>158</v>
      </c>
      <c r="G5" s="123" t="s">
        <v>159</v>
      </c>
      <c r="H5" s="123" t="s">
        <v>160</v>
      </c>
      <c r="I5" s="123" t="s">
        <v>161</v>
      </c>
      <c r="J5" s="123" t="s">
        <v>162</v>
      </c>
      <c r="K5" s="123" t="s">
        <v>163</v>
      </c>
      <c r="L5" s="123" t="s">
        <v>164</v>
      </c>
      <c r="M5" s="123" t="s">
        <v>165</v>
      </c>
      <c r="N5" s="123" t="s">
        <v>166</v>
      </c>
    </row>
    <row r="6" spans="1:14" x14ac:dyDescent="0.3">
      <c r="B6" t="s">
        <v>177</v>
      </c>
      <c r="C6" s="38">
        <f>SUM(E6:N6)</f>
        <v>14</v>
      </c>
      <c r="E6" s="130">
        <v>2</v>
      </c>
      <c r="F6" s="130">
        <v>2</v>
      </c>
      <c r="G6" s="130">
        <v>0</v>
      </c>
      <c r="H6" s="130">
        <v>2</v>
      </c>
      <c r="I6" s="130">
        <v>2</v>
      </c>
      <c r="J6" s="130">
        <v>0</v>
      </c>
      <c r="K6" s="130">
        <v>2</v>
      </c>
      <c r="L6" s="130">
        <v>2</v>
      </c>
      <c r="M6" s="130">
        <v>0</v>
      </c>
      <c r="N6" s="130">
        <v>2</v>
      </c>
    </row>
    <row r="7" spans="1:14" x14ac:dyDescent="0.3">
      <c r="B7" t="s">
        <v>169</v>
      </c>
      <c r="C7" s="38">
        <f t="shared" ref="C7:C17" si="0">SUM(E7:N7)</f>
        <v>16</v>
      </c>
      <c r="E7" s="130">
        <v>2</v>
      </c>
      <c r="F7" s="130">
        <v>0</v>
      </c>
      <c r="G7" s="130">
        <v>0</v>
      </c>
      <c r="H7" s="130">
        <v>2</v>
      </c>
      <c r="I7" s="130">
        <v>2</v>
      </c>
      <c r="J7" s="130">
        <v>2</v>
      </c>
      <c r="K7" s="130">
        <v>2</v>
      </c>
      <c r="L7" s="130">
        <v>2</v>
      </c>
      <c r="M7" s="130">
        <v>2</v>
      </c>
      <c r="N7" s="130">
        <v>2</v>
      </c>
    </row>
    <row r="8" spans="1:14" x14ac:dyDescent="0.3">
      <c r="B8" t="s">
        <v>170</v>
      </c>
      <c r="C8" s="38">
        <f t="shared" si="0"/>
        <v>16</v>
      </c>
      <c r="E8" s="130">
        <v>2</v>
      </c>
      <c r="F8" s="130">
        <v>2</v>
      </c>
      <c r="G8" s="130">
        <v>0</v>
      </c>
      <c r="H8" s="130">
        <v>2</v>
      </c>
      <c r="I8" s="130">
        <v>2</v>
      </c>
      <c r="J8" s="130">
        <v>0</v>
      </c>
      <c r="K8" s="130">
        <v>2</v>
      </c>
      <c r="L8" s="130">
        <v>2</v>
      </c>
      <c r="M8" s="130">
        <v>2</v>
      </c>
      <c r="N8" s="130">
        <v>2</v>
      </c>
    </row>
    <row r="9" spans="1:14" x14ac:dyDescent="0.3">
      <c r="B9" t="s">
        <v>172</v>
      </c>
      <c r="C9" s="38">
        <f t="shared" si="0"/>
        <v>12</v>
      </c>
      <c r="E9" s="130">
        <v>2</v>
      </c>
      <c r="F9" s="130">
        <v>2</v>
      </c>
      <c r="G9" s="130">
        <v>0</v>
      </c>
      <c r="H9" s="130">
        <v>0</v>
      </c>
      <c r="I9" s="130">
        <v>2</v>
      </c>
      <c r="J9" s="130">
        <v>0</v>
      </c>
      <c r="K9" s="130">
        <v>2</v>
      </c>
      <c r="L9" s="130">
        <v>0</v>
      </c>
      <c r="M9" s="130">
        <v>2</v>
      </c>
      <c r="N9" s="130">
        <v>2</v>
      </c>
    </row>
    <row r="10" spans="1:14" x14ac:dyDescent="0.3">
      <c r="B10" t="s">
        <v>173</v>
      </c>
      <c r="C10" s="38">
        <f t="shared" si="0"/>
        <v>10</v>
      </c>
      <c r="E10" s="130">
        <v>2</v>
      </c>
      <c r="F10" s="130">
        <v>2</v>
      </c>
      <c r="G10" s="130">
        <v>2</v>
      </c>
      <c r="H10" s="130">
        <v>2</v>
      </c>
      <c r="I10" s="130">
        <v>2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</row>
    <row r="11" spans="1:14" x14ac:dyDescent="0.3">
      <c r="B11" t="s">
        <v>176</v>
      </c>
      <c r="C11" s="38">
        <f t="shared" si="0"/>
        <v>16</v>
      </c>
      <c r="E11" s="130">
        <v>2</v>
      </c>
      <c r="F11" s="130">
        <v>2</v>
      </c>
      <c r="G11" s="130">
        <v>0</v>
      </c>
      <c r="H11" s="130">
        <v>2</v>
      </c>
      <c r="I11" s="130">
        <v>2</v>
      </c>
      <c r="J11" s="130">
        <v>0</v>
      </c>
      <c r="K11" s="130">
        <v>2</v>
      </c>
      <c r="L11" s="130">
        <v>2</v>
      </c>
      <c r="M11" s="130">
        <v>2</v>
      </c>
      <c r="N11" s="130">
        <v>2</v>
      </c>
    </row>
    <row r="12" spans="1:14" x14ac:dyDescent="0.3">
      <c r="B12" t="s">
        <v>167</v>
      </c>
      <c r="C12" s="38">
        <f t="shared" si="0"/>
        <v>6</v>
      </c>
      <c r="E12" s="130">
        <v>2</v>
      </c>
      <c r="F12" s="130">
        <v>2</v>
      </c>
      <c r="G12" s="130">
        <v>0</v>
      </c>
      <c r="H12" s="130">
        <v>0</v>
      </c>
      <c r="I12" s="130">
        <v>2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</row>
    <row r="13" spans="1:14" x14ac:dyDescent="0.3">
      <c r="B13" t="s">
        <v>168</v>
      </c>
      <c r="C13" s="38">
        <f t="shared" si="0"/>
        <v>12</v>
      </c>
      <c r="E13" s="130">
        <v>2</v>
      </c>
      <c r="F13" s="130">
        <v>2</v>
      </c>
      <c r="G13" s="130">
        <v>0</v>
      </c>
      <c r="H13" s="130">
        <v>2</v>
      </c>
      <c r="I13" s="130">
        <v>2</v>
      </c>
      <c r="J13" s="130">
        <v>2</v>
      </c>
      <c r="K13" s="130">
        <v>0</v>
      </c>
      <c r="L13" s="130">
        <v>0</v>
      </c>
      <c r="M13" s="130">
        <v>0</v>
      </c>
      <c r="N13" s="130">
        <v>2</v>
      </c>
    </row>
    <row r="14" spans="1:14" x14ac:dyDescent="0.3">
      <c r="B14" t="s">
        <v>175</v>
      </c>
      <c r="C14" s="38">
        <f t="shared" si="0"/>
        <v>10</v>
      </c>
      <c r="E14" s="130">
        <v>2</v>
      </c>
      <c r="F14" s="130">
        <v>2</v>
      </c>
      <c r="G14" s="130">
        <v>2</v>
      </c>
      <c r="H14" s="130">
        <v>2</v>
      </c>
      <c r="I14" s="130">
        <v>2</v>
      </c>
      <c r="J14" s="130">
        <v>0</v>
      </c>
      <c r="K14" s="130">
        <v>0</v>
      </c>
      <c r="L14" s="130">
        <v>0</v>
      </c>
      <c r="M14" s="130">
        <v>0</v>
      </c>
      <c r="N14" s="130">
        <v>0</v>
      </c>
    </row>
    <row r="15" spans="1:14" x14ac:dyDescent="0.3">
      <c r="B15" t="s">
        <v>171</v>
      </c>
      <c r="C15" s="38">
        <f t="shared" si="0"/>
        <v>14</v>
      </c>
      <c r="E15" s="130">
        <v>2</v>
      </c>
      <c r="F15" s="130">
        <v>2</v>
      </c>
      <c r="G15" s="130">
        <v>0</v>
      </c>
      <c r="H15" s="130">
        <v>2</v>
      </c>
      <c r="I15" s="130">
        <v>2</v>
      </c>
      <c r="J15" s="130">
        <v>2</v>
      </c>
      <c r="K15" s="130">
        <v>2</v>
      </c>
      <c r="L15" s="130">
        <v>0</v>
      </c>
      <c r="M15" s="130">
        <v>0</v>
      </c>
      <c r="N15" s="130">
        <v>2</v>
      </c>
    </row>
    <row r="16" spans="1:14" x14ac:dyDescent="0.3">
      <c r="B16" t="s">
        <v>155</v>
      </c>
      <c r="C16" s="38">
        <f t="shared" si="0"/>
        <v>16</v>
      </c>
      <c r="E16" s="130">
        <v>2</v>
      </c>
      <c r="F16" s="130">
        <v>2</v>
      </c>
      <c r="G16" s="130">
        <v>2</v>
      </c>
      <c r="H16" s="130">
        <v>2</v>
      </c>
      <c r="I16" s="130">
        <v>2</v>
      </c>
      <c r="J16" s="130">
        <v>2</v>
      </c>
      <c r="K16" s="130">
        <v>2</v>
      </c>
      <c r="L16" s="130">
        <v>0</v>
      </c>
      <c r="M16" s="130">
        <v>0</v>
      </c>
      <c r="N16" s="130">
        <v>2</v>
      </c>
    </row>
    <row r="17" spans="2:14" x14ac:dyDescent="0.3">
      <c r="B17" t="s">
        <v>174</v>
      </c>
      <c r="C17" s="38">
        <f t="shared" si="0"/>
        <v>12</v>
      </c>
      <c r="E17" s="130">
        <v>2</v>
      </c>
      <c r="F17" s="130">
        <v>2</v>
      </c>
      <c r="G17" s="130">
        <v>2</v>
      </c>
      <c r="H17" s="130">
        <v>2</v>
      </c>
      <c r="I17" s="130">
        <v>2</v>
      </c>
      <c r="J17" s="130">
        <v>0</v>
      </c>
      <c r="K17" s="130">
        <v>0</v>
      </c>
      <c r="L17" s="130">
        <v>0</v>
      </c>
      <c r="M17" s="130">
        <v>0</v>
      </c>
      <c r="N17" s="130">
        <v>2</v>
      </c>
    </row>
    <row r="18" spans="2:14" x14ac:dyDescent="0.3">
      <c r="E18" s="125">
        <f>AVERAGE(E6:E17)</f>
        <v>2</v>
      </c>
      <c r="F18" s="125">
        <f t="shared" ref="F18:N18" si="1">AVERAGE(F6:F17)</f>
        <v>1.8333333333333333</v>
      </c>
      <c r="G18" s="125">
        <f t="shared" si="1"/>
        <v>0.66666666666666663</v>
      </c>
      <c r="H18" s="125">
        <f t="shared" si="1"/>
        <v>1.6666666666666667</v>
      </c>
      <c r="I18" s="125">
        <f t="shared" si="1"/>
        <v>2</v>
      </c>
      <c r="J18" s="125">
        <f t="shared" si="1"/>
        <v>0.66666666666666663</v>
      </c>
      <c r="K18" s="125">
        <f t="shared" si="1"/>
        <v>1.1666666666666667</v>
      </c>
      <c r="L18" s="125">
        <f t="shared" si="1"/>
        <v>0.66666666666666663</v>
      </c>
      <c r="M18" s="125">
        <f t="shared" si="1"/>
        <v>0.66666666666666663</v>
      </c>
      <c r="N18" s="125">
        <f t="shared" si="1"/>
        <v>1.5</v>
      </c>
    </row>
    <row r="20" spans="2:14" x14ac:dyDescent="0.3">
      <c r="B20" t="s">
        <v>178</v>
      </c>
      <c r="C20" s="38">
        <f>COUNT(C6:C17)</f>
        <v>12</v>
      </c>
    </row>
    <row r="21" spans="2:14" x14ac:dyDescent="0.3">
      <c r="B21" t="s">
        <v>179</v>
      </c>
      <c r="C21" s="124">
        <f>AVERAGE(C6:C17)</f>
        <v>12.833333333333334</v>
      </c>
    </row>
    <row r="22" spans="2:14" x14ac:dyDescent="0.3">
      <c r="B22" t="s">
        <v>180</v>
      </c>
      <c r="C22" s="38">
        <f>MEDIAN(C6:C17)</f>
        <v>13</v>
      </c>
    </row>
    <row r="23" spans="2:14" x14ac:dyDescent="0.3">
      <c r="B23" t="s">
        <v>181</v>
      </c>
      <c r="C23" s="124">
        <f>STDEV(C6:C17)</f>
        <v>3.1285585799020601</v>
      </c>
    </row>
    <row r="24" spans="2:14" x14ac:dyDescent="0.3">
      <c r="B24" t="s">
        <v>182</v>
      </c>
      <c r="C24" s="38">
        <f>MIN(C6:C17)</f>
        <v>6</v>
      </c>
    </row>
    <row r="25" spans="2:14" x14ac:dyDescent="0.3">
      <c r="B25" t="s">
        <v>183</v>
      </c>
      <c r="C25" s="38">
        <f>MAX(C6:C17)</f>
        <v>16</v>
      </c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Corrigé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AFH</dc:creator>
  <cp:lastModifiedBy>AFH</cp:lastModifiedBy>
  <dcterms:created xsi:type="dcterms:W3CDTF">2016-09-27T16:23:16Z</dcterms:created>
  <dcterms:modified xsi:type="dcterms:W3CDTF">2022-09-26T18:32:21Z</dcterms:modified>
</cp:coreProperties>
</file>