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H\Documents\COURS\Master_IAE\Promotion_2021-2022\"/>
    </mc:Choice>
  </mc:AlternateContent>
  <xr:revisionPtr revIDLastSave="0" documentId="8_{E4E0B5A5-EF7A-4A6E-96E6-14032F0C02AB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Solution" sheetId="1" r:id="rId1"/>
    <sheet name="Notes" sheetId="3" r:id="rId2"/>
  </sheets>
  <calcPr calcId="191029"/>
</workbook>
</file>

<file path=xl/calcChain.xml><?xml version="1.0" encoding="utf-8"?>
<calcChain xmlns="http://schemas.openxmlformats.org/spreadsheetml/2006/main">
  <c r="D109" i="1" l="1"/>
  <c r="E101" i="1"/>
  <c r="E121" i="1" l="1"/>
  <c r="F30" i="3"/>
  <c r="G30" i="3"/>
  <c r="H30" i="3"/>
  <c r="I30" i="3"/>
  <c r="J30" i="3"/>
  <c r="K30" i="3"/>
  <c r="L30" i="3"/>
  <c r="M30" i="3"/>
  <c r="N30" i="3"/>
  <c r="E30" i="3"/>
  <c r="C36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34" i="3" l="1"/>
  <c r="C32" i="3"/>
  <c r="C33" i="3"/>
  <c r="C31" i="3"/>
  <c r="C35" i="3"/>
  <c r="C30" i="3"/>
  <c r="G167" i="1"/>
  <c r="G166" i="1"/>
  <c r="H167" i="1"/>
  <c r="H166" i="1"/>
  <c r="F68" i="1"/>
  <c r="H68" i="1" s="1"/>
  <c r="G69" i="1"/>
  <c r="G68" i="1" s="1"/>
  <c r="G67" i="1" s="1"/>
  <c r="H67" i="1" s="1"/>
  <c r="C164" i="1"/>
  <c r="G163" i="1"/>
  <c r="E131" i="1"/>
  <c r="D131" i="1"/>
  <c r="E119" i="1"/>
  <c r="I117" i="1" s="1"/>
  <c r="E118" i="1"/>
  <c r="I116" i="1" s="1"/>
  <c r="E117" i="1"/>
  <c r="I115" i="1" s="1"/>
  <c r="E103" i="1"/>
  <c r="E107" i="1" s="1"/>
  <c r="E90" i="1"/>
  <c r="C72" i="1"/>
  <c r="F69" i="1" l="1"/>
  <c r="D110" i="1"/>
  <c r="H168" i="1"/>
  <c r="I168" i="1" s="1"/>
  <c r="I119" i="1"/>
  <c r="H72" i="1"/>
  <c r="J154" i="1"/>
  <c r="I154" i="1"/>
  <c r="F151" i="1"/>
  <c r="F147" i="1"/>
  <c r="F146" i="1"/>
  <c r="F70" i="1" l="1"/>
  <c r="H70" i="1" s="1"/>
  <c r="H69" i="1"/>
  <c r="F139" i="1"/>
  <c r="F137" i="1"/>
  <c r="F136" i="1"/>
  <c r="C141" i="1"/>
  <c r="E116" i="1"/>
  <c r="F141" i="1" l="1"/>
  <c r="F153" i="1"/>
  <c r="F154" i="1" s="1"/>
  <c r="D91" i="1"/>
  <c r="D92" i="1" l="1"/>
  <c r="E91" i="1"/>
  <c r="D93" i="1" l="1"/>
  <c r="E93" i="1" s="1"/>
  <c r="E92" i="1"/>
  <c r="E96" i="1" s="1"/>
</calcChain>
</file>

<file path=xl/sharedStrings.xml><?xml version="1.0" encoding="utf-8"?>
<sst xmlns="http://schemas.openxmlformats.org/spreadsheetml/2006/main" count="318" uniqueCount="205">
  <si>
    <t>Qté</t>
  </si>
  <si>
    <t>Prix</t>
  </si>
  <si>
    <t>ACHAT</t>
  </si>
  <si>
    <t>VENTE</t>
  </si>
  <si>
    <t>Q1</t>
  </si>
  <si>
    <t>X</t>
  </si>
  <si>
    <t>Q2</t>
  </si>
  <si>
    <t>EUR-GBP</t>
  </si>
  <si>
    <t>$</t>
  </si>
  <si>
    <t>€</t>
  </si>
  <si>
    <t>Q6</t>
  </si>
  <si>
    <t>Q7</t>
  </si>
  <si>
    <t>Fixing</t>
  </si>
  <si>
    <t>Qté échangée</t>
  </si>
  <si>
    <t>Pr. Alain FRANCOIS-HEUDE</t>
  </si>
  <si>
    <t>Qté Achat</t>
  </si>
  <si>
    <t>Qté Vente</t>
  </si>
  <si>
    <t>dV/V = -D*(d(1+r)/(1+r))+(Cvx/2)*(d(1+r)/(1+r))^2</t>
  </si>
  <si>
    <t>dVo/Vo</t>
  </si>
  <si>
    <t>Rt</t>
  </si>
  <si>
    <t>ft</t>
  </si>
  <si>
    <t>FRA =</t>
  </si>
  <si>
    <t>GBP-EUR</t>
  </si>
  <si>
    <t>USD-AUD</t>
  </si>
  <si>
    <t>GBP-AUD</t>
  </si>
  <si>
    <t xml:space="preserve"> Donner le change spot en Mid GBP-AUD sachant</t>
  </si>
  <si>
    <t>AUD-USD</t>
  </si>
  <si>
    <t xml:space="preserve"> </t>
  </si>
  <si>
    <t>Dev1-Dev2 Spot</t>
  </si>
  <si>
    <t xml:space="preserve">Déterminer le change spot des devises Dev1-Dev2 à partir des informations suivantes :        </t>
  </si>
  <si>
    <t>kg</t>
  </si>
  <si>
    <t>l</t>
  </si>
  <si>
    <t>EUR-USD</t>
  </si>
  <si>
    <t>once</t>
  </si>
  <si>
    <t>grammes</t>
  </si>
  <si>
    <t>baril</t>
  </si>
  <si>
    <t>litres</t>
  </si>
  <si>
    <t>t</t>
  </si>
  <si>
    <t>WTI $/baril</t>
  </si>
  <si>
    <t>Q4</t>
  </si>
  <si>
    <t>Q5</t>
  </si>
  <si>
    <t>Q8</t>
  </si>
  <si>
    <t>Q9</t>
  </si>
  <si>
    <t>Q10</t>
  </si>
  <si>
    <t>puis faire la différence et diviser par le prix initial</t>
  </si>
  <si>
    <r>
      <rPr>
        <b/>
        <u/>
        <sz val="11"/>
        <color theme="1"/>
        <rFont val="Calibri"/>
        <family val="2"/>
        <scheme val="minor"/>
      </rPr>
      <t>Alternative</t>
    </r>
    <r>
      <rPr>
        <sz val="11"/>
        <color theme="1"/>
        <rFont val="Calibri"/>
        <family val="2"/>
        <scheme val="minor"/>
      </rPr>
      <t xml:space="preserve"> : calculer la rente perpétuelle avec le nouveau taux</t>
    </r>
  </si>
  <si>
    <t>NOTE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</si>
  <si>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</si>
  <si>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</si>
  <si>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</si>
  <si>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</si>
  <si>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</si>
  <si>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</si>
  <si>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</si>
  <si>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</si>
  <si>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</si>
  <si>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Moyenne</t>
  </si>
  <si>
    <t>Ecart type</t>
  </si>
  <si>
    <t>Médiane</t>
  </si>
  <si>
    <t>Cours</t>
  </si>
  <si>
    <t>+ bas</t>
  </si>
  <si>
    <t>+ haut</t>
  </si>
  <si>
    <t>Source www.boursorama.fr</t>
  </si>
  <si>
    <t>8,2 Mions€</t>
  </si>
  <si>
    <t xml:space="preserve">Source www.lme.com </t>
  </si>
  <si>
    <t>IAE  M2 SIAD Finance  2021-2022</t>
  </si>
  <si>
    <t>Cours : Analyse Financière des Risques</t>
  </si>
  <si>
    <t>Examen du 11-10-21</t>
  </si>
  <si>
    <t>Carnet d'ordres le 06/10/21 à 14:20:16</t>
  </si>
  <si>
    <t>Donner la meilleure limite en prix (Bid-Ask) le 06/10/21 à 14:20:40 [ 3 ordres ont été passés ]</t>
  </si>
  <si>
    <t xml:space="preserve"> 06/10/21 à 14:20:17</t>
  </si>
  <si>
    <t>Vente de 5 000 titres à 123,30€</t>
  </si>
  <si>
    <t>Carnet d'ordres le 06/10/21 à 14:20:18</t>
  </si>
  <si>
    <t xml:space="preserve"> 06/10/21 à 14:20:24</t>
  </si>
  <si>
    <t>Achat de 6 000 titres à 123,30€</t>
  </si>
  <si>
    <t>Vente de 4 000 titres à 123,20€</t>
  </si>
  <si>
    <t xml:space="preserve"> 06/10/21 à 14:20:35</t>
  </si>
  <si>
    <t>Carnet d'ordres le 06/10/21 à 14:20:25</t>
  </si>
  <si>
    <t>Carnet d'ordres le 06/10/21 à 14:20:40</t>
  </si>
  <si>
    <t>123,20 - 123,30</t>
  </si>
  <si>
    <t>123,20 - 123,40</t>
  </si>
  <si>
    <t>123,30 - 123,40</t>
  </si>
  <si>
    <t>123,30 - 123,50</t>
  </si>
  <si>
    <t>2 500 - 123,220</t>
  </si>
  <si>
    <t>Vente de 1 800 titres à 123,40€</t>
  </si>
  <si>
    <t>mise en carnet</t>
  </si>
  <si>
    <t>06/10/20 à 14:15:59</t>
  </si>
  <si>
    <t>Carnet d'ordres le 06/10/21 à 14:15:59</t>
  </si>
  <si>
    <t>Achat de 1 000 titres à 123,20€</t>
  </si>
  <si>
    <t>5 500 - 1 800</t>
  </si>
  <si>
    <t>5 500 - 3 600</t>
  </si>
  <si>
    <t>4 500 - 1 800</t>
  </si>
  <si>
    <t>4 500 - 3 600</t>
  </si>
  <si>
    <t>4 500 - 9 500</t>
  </si>
  <si>
    <t>Q3 :  Déterminer le meilleur Bid-Ask après fixing à partir des informations suivantes :</t>
  </si>
  <si>
    <t>Σ↓ Achats</t>
  </si>
  <si>
    <t>Σ↑ Ventes</t>
  </si>
  <si>
    <t>Ecart Absolu</t>
  </si>
  <si>
    <t>Meilleure limite</t>
  </si>
  <si>
    <t xml:space="preserve">  tous les acheteurs &gt;= à 122 sont servis</t>
  </si>
  <si>
    <t xml:space="preserve">  il reste 270 vendeurs à 122 non servis</t>
  </si>
  <si>
    <t>122 - 123</t>
  </si>
  <si>
    <t>120 - 121</t>
  </si>
  <si>
    <t>120 - 122</t>
  </si>
  <si>
    <t>121 - 122</t>
  </si>
  <si>
    <t>120 - 123</t>
  </si>
  <si>
    <t>Nominal K = 1, maturité n = 4 ans, taux de coupon i = 4% et taux de rendement 4,4%</t>
  </si>
  <si>
    <t>Prix (Vo)</t>
  </si>
  <si>
    <t>Intérêts</t>
  </si>
  <si>
    <t>Capital</t>
  </si>
  <si>
    <t>Flux actualisés</t>
  </si>
  <si>
    <t>Tx Rdt</t>
  </si>
  <si>
    <t>Du(ZC) = n</t>
  </si>
  <si>
    <t>Cvx(ZC) = n (n + 1)</t>
  </si>
  <si>
    <t>Vo(3,70%)</t>
  </si>
  <si>
    <t>Calculer la +/- value (en %) d'un Zéro Coupon avec un taux de rendement = 3,50% et une maturité de 16 ans</t>
  </si>
  <si>
    <t>FRA de 1 dans 1</t>
  </si>
  <si>
    <t>FRA de 1 dans 2</t>
  </si>
  <si>
    <t>FRA de 1 dans 3</t>
  </si>
  <si>
    <t>FRA de 2 dans 2</t>
  </si>
  <si>
    <t>Dev1-Dev2 Fwd 2 mth</t>
  </si>
  <si>
    <t>Taux Dev1 2 mth</t>
  </si>
  <si>
    <t>Taux Dev2 2 mth</t>
  </si>
  <si>
    <t>9,74 - 9,90</t>
  </si>
  <si>
    <t>9,58 - 9,68</t>
  </si>
  <si>
    <t>9,75 - 10,00</t>
  </si>
  <si>
    <t>9,94 -9,99</t>
  </si>
  <si>
    <t>9,75 - 9,94</t>
  </si>
  <si>
    <t>AUD-USD 0,9156    EUR-GBP 0,8751   EUR-BLK  1,0447 et  USD-BLK  0,9095</t>
  </si>
  <si>
    <t>EUR-BLK</t>
  </si>
  <si>
    <t>USD-BLK</t>
  </si>
  <si>
    <t>BLK-USD</t>
  </si>
  <si>
    <t>Argent $/once</t>
  </si>
  <si>
    <t>Cuivre $/tonne</t>
  </si>
  <si>
    <t>Prix au 10/10/21 à 10h15</t>
  </si>
  <si>
    <t>37,2 Mions€</t>
  </si>
  <si>
    <t>40,2 Mions€</t>
  </si>
  <si>
    <t>32,8 Mions€</t>
  </si>
  <si>
    <t>48,0 Mions€</t>
  </si>
  <si>
    <t>i</t>
  </si>
  <si>
    <t>n</t>
  </si>
  <si>
    <t>r</t>
  </si>
  <si>
    <t>AC</t>
  </si>
  <si>
    <t>Vo</t>
  </si>
  <si>
    <t>Test sur n</t>
  </si>
  <si>
    <t>Interpolation  ==&gt;</t>
  </si>
  <si>
    <t>Q10  :  Donner la maturité d'un emprunt remboursé par AC  ?</t>
  </si>
  <si>
    <t xml:space="preserve"> taux de coupon = 3%, taux de rendement  2,30% et Vo = 103,35%</t>
  </si>
  <si>
    <t xml:space="preserve">variation du taux de marché = +0,20%       solution de la forme  +/- valuen en % </t>
  </si>
  <si>
    <t>Dev1-Dev2 Fwd 2 mois  9,75 - 9,92 ,  Taux Dev1 à 2m   1,40% - 1,66%   et Taux Dev2 à 2m  2,10% - 2,30%</t>
  </si>
  <si>
    <t>Donner la valeur en € de 1,5 millions de litres de pétrole qualité WTI, 12 tonnes d'argent et 4000 tonnes de cuivre</t>
  </si>
  <si>
    <r>
      <t>Donner le prix (Vo) d'un emprunt remboursé</t>
    </r>
    <r>
      <rPr>
        <b/>
        <i/>
        <sz val="11"/>
        <color theme="1"/>
        <rFont val="Calibri"/>
        <family val="2"/>
        <scheme val="minor"/>
      </rPr>
      <t xml:space="preserve"> par SEA (remboursement constant)</t>
    </r>
  </si>
  <si>
    <t>Donner le prix d'un FRA de 2 ans dans 2 ans avec un nominal de 14 millions d'€ avec un taux de référence de 2,85%</t>
  </si>
  <si>
    <r>
      <t>Structure initiale des taux au comptant (spot) : R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= 1,90%,   R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= 2,10%,   R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= 2,30%  et R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= 2,60%</t>
    </r>
  </si>
  <si>
    <t>&lt;==</t>
  </si>
  <si>
    <t>Donner la meilleure limite en quantité (Bid-Ask) le 06/10/21 à 14:15:25 [ 2 ordres ont été passés ]</t>
  </si>
  <si>
    <t>Carnet d'ordres le 06/10/21 à 14:15:26</t>
  </si>
  <si>
    <t>06/10/20 à 14:15:26</t>
  </si>
  <si>
    <t>IAE Montpellier M2 MSI Année 2021-2022</t>
  </si>
  <si>
    <t>Analyse Financière des Risques Exam du 11-10-21</t>
  </si>
  <si>
    <t>Pr.Alain FRANCOIS-HEUDE</t>
  </si>
  <si>
    <t>M.</t>
  </si>
  <si>
    <t>AARAB Ayoub</t>
  </si>
  <si>
    <t>AYOUBI Kamal</t>
  </si>
  <si>
    <t>Mme</t>
  </si>
  <si>
    <t>BELGAIED Jihène</t>
  </si>
  <si>
    <t>BERRANDOU Assia</t>
  </si>
  <si>
    <t>CORDOVAL Chloë</t>
  </si>
  <si>
    <t>DJOUAHRA Sonia</t>
  </si>
  <si>
    <t>EL KAIM Laura</t>
  </si>
  <si>
    <t>ESTEVE Nathan</t>
  </si>
  <si>
    <t>FATTOUHY Mohamed</t>
  </si>
  <si>
    <t>FOUX Quentin</t>
  </si>
  <si>
    <t>GOUJILI Nouhaila</t>
  </si>
  <si>
    <t>GUILLAUMONT Pierre</t>
  </si>
  <si>
    <t>HAYOU Bouthayna</t>
  </si>
  <si>
    <t>JABBAR Otmane</t>
  </si>
  <si>
    <t>KOAN Kenjy</t>
  </si>
  <si>
    <t>LAABSI Zakaria</t>
  </si>
  <si>
    <t>LLINARES Laurent</t>
  </si>
  <si>
    <t>MIMOUNI Yassine</t>
  </si>
  <si>
    <t>NICOLAS Alexandre</t>
  </si>
  <si>
    <t>PAINT KOUI Ravahere</t>
  </si>
  <si>
    <t>PONCHEELE Clément</t>
  </si>
  <si>
    <t>SADIO Stephane</t>
  </si>
  <si>
    <t>SOW Oumouratou Anna</t>
  </si>
  <si>
    <t>TOUZANI Amine</t>
  </si>
  <si>
    <t>Effectif</t>
  </si>
  <si>
    <t>Min</t>
  </si>
  <si>
    <t>Max</t>
  </si>
  <si>
    <t>NB &gt; 10</t>
  </si>
  <si>
    <t>SEYDOU Sane</t>
  </si>
  <si>
    <t>ABS</t>
  </si>
  <si>
    <t>UJKA Stephani</t>
  </si>
  <si>
    <t>VERNAY Amelie</t>
  </si>
  <si>
    <t>Note provisoire en attente de validation</t>
  </si>
  <si>
    <t>2 000 exécutés à 123,30€ et 3 000 à 123,20€</t>
  </si>
  <si>
    <t>entre 09/09 et 11/10/21</t>
  </si>
  <si>
    <t>Q2 neutralisée (horaires incohérents)</t>
  </si>
  <si>
    <t>Q6 : la réponse -26 000 est aussi acceptée car énoncé ambigu (taux garanti au lieu de taux de référence)</t>
  </si>
  <si>
    <t>Q9 : les réponses 32, 37 et 40,2 millions sont acceptées (si l'on se référe au tableau de bord du 08/09/21 faux !)</t>
  </si>
  <si>
    <t>Exécutés à 123,20€</t>
  </si>
  <si>
    <t>Mis en carnet</t>
  </si>
  <si>
    <t>Q1 rectifiée (les points attribués par erreur sont laissés !)</t>
  </si>
  <si>
    <r>
      <t>Vo(ZC) = 1/ ( 1 + r )</t>
    </r>
    <r>
      <rPr>
        <vertAlign val="superscript"/>
        <sz val="11"/>
        <color theme="1"/>
        <rFont val="Calibri"/>
        <family val="2"/>
        <scheme val="minor"/>
      </rPr>
      <t xml:space="preserve">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</si>
</sst>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"/>
    <numFmt numFmtId="166" formatCode="0.000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6" xfId="0" applyBorder="1"/>
    <xf numFmtId="0" fontId="2" fillId="2" borderId="6" xfId="0" applyFont="1" applyFill="1" applyBorder="1" applyAlignment="1">
      <alignment horizontal="center"/>
    </xf>
    <xf numFmtId="10" fontId="0" fillId="0" borderId="0" xfId="0" applyNumberFormat="1"/>
    <xf numFmtId="3" fontId="2" fillId="0" borderId="8" xfId="0" applyNumberFormat="1" applyFont="1" applyBorder="1" applyAlignment="1">
      <alignment horizontal="center"/>
    </xf>
    <xf numFmtId="10" fontId="0" fillId="0" borderId="0" xfId="1" applyNumberFormat="1" applyFont="1"/>
    <xf numFmtId="10" fontId="2" fillId="2" borderId="1" xfId="1" applyNumberFormat="1" applyFont="1" applyFill="1" applyBorder="1" applyAlignment="1">
      <alignment horizontal="center"/>
    </xf>
    <xf numFmtId="164" fontId="0" fillId="0" borderId="0" xfId="0" applyNumberFormat="1"/>
    <xf numFmtId="0" fontId="5" fillId="0" borderId="0" xfId="0" applyFont="1"/>
    <xf numFmtId="164" fontId="0" fillId="0" borderId="0" xfId="0" applyNumberFormat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0" fillId="0" borderId="0" xfId="0" applyNumberFormat="1"/>
    <xf numFmtId="165" fontId="0" fillId="0" borderId="6" xfId="0" applyNumberFormat="1" applyBorder="1"/>
    <xf numFmtId="166" fontId="2" fillId="2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 vertical="center" wrapText="1"/>
    </xf>
    <xf numFmtId="0" fontId="0" fillId="3" borderId="0" xfId="0" applyFill="1" applyAlignment="1">
      <alignment horizontal="center" vertical="center" wrapText="1"/>
    </xf>
    <xf numFmtId="3" fontId="0" fillId="3" borderId="0" xfId="0" applyNumberFormat="1" applyFill="1" applyAlignment="1">
      <alignment horizontal="right" vertical="center" wrapText="1"/>
    </xf>
    <xf numFmtId="0" fontId="2" fillId="3" borderId="0" xfId="0" applyFont="1" applyFill="1"/>
    <xf numFmtId="2" fontId="0" fillId="3" borderId="0" xfId="0" applyNumberFormat="1" applyFill="1"/>
    <xf numFmtId="10" fontId="2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quotePrefix="1" applyFont="1"/>
    <xf numFmtId="164" fontId="2" fillId="2" borderId="0" xfId="0" applyNumberFormat="1" applyFont="1" applyFill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/>
    <xf numFmtId="3" fontId="5" fillId="0" borderId="0" xfId="0" applyNumberFormat="1" applyFont="1"/>
    <xf numFmtId="3" fontId="6" fillId="2" borderId="1" xfId="0" applyNumberFormat="1" applyFont="1" applyFill="1" applyBorder="1"/>
    <xf numFmtId="10" fontId="2" fillId="0" borderId="8" xfId="1" applyNumberFormat="1" applyFont="1" applyBorder="1" applyAlignment="1">
      <alignment horizontal="center"/>
    </xf>
    <xf numFmtId="10" fontId="0" fillId="0" borderId="6" xfId="1" applyNumberFormat="1" applyFont="1" applyBorder="1"/>
    <xf numFmtId="4" fontId="2" fillId="0" borderId="8" xfId="0" applyNumberFormat="1" applyFont="1" applyBorder="1" applyAlignment="1">
      <alignment horizontal="center"/>
    </xf>
    <xf numFmtId="4" fontId="0" fillId="0" borderId="6" xfId="0" applyNumberFormat="1" applyBorder="1"/>
    <xf numFmtId="3" fontId="2" fillId="3" borderId="0" xfId="0" applyNumberFormat="1" applyFont="1" applyFill="1" applyAlignment="1">
      <alignment horizontal="center"/>
    </xf>
    <xf numFmtId="21" fontId="2" fillId="3" borderId="0" xfId="0" applyNumberFormat="1" applyFont="1" applyFill="1"/>
    <xf numFmtId="2" fontId="2" fillId="0" borderId="5" xfId="0" applyNumberFormat="1" applyFont="1" applyBorder="1" applyAlignment="1">
      <alignment horizontal="center"/>
    </xf>
    <xf numFmtId="0" fontId="0" fillId="0" borderId="0" xfId="0" applyFont="1"/>
    <xf numFmtId="0" fontId="9" fillId="3" borderId="0" xfId="0" applyFont="1" applyFill="1" applyAlignment="1">
      <alignment vertical="center"/>
    </xf>
    <xf numFmtId="10" fontId="2" fillId="2" borderId="1" xfId="1" applyNumberFormat="1" applyFont="1" applyFill="1" applyBorder="1"/>
    <xf numFmtId="10" fontId="2" fillId="2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2" fontId="2" fillId="0" borderId="0" xfId="0" applyNumberFormat="1" applyFont="1"/>
    <xf numFmtId="0" fontId="2" fillId="0" borderId="9" xfId="0" applyFont="1" applyBorder="1"/>
    <xf numFmtId="167" fontId="2" fillId="0" borderId="0" xfId="0" applyNumberFormat="1" applyFont="1" applyAlignment="1">
      <alignment horizontal="center"/>
    </xf>
    <xf numFmtId="0" fontId="0" fillId="0" borderId="11" xfId="0" applyBorder="1"/>
    <xf numFmtId="3" fontId="2" fillId="2" borderId="1" xfId="0" applyNumberFormat="1" applyFont="1" applyFill="1" applyBorder="1"/>
    <xf numFmtId="0" fontId="0" fillId="2" borderId="0" xfId="0" applyFill="1"/>
    <xf numFmtId="0" fontId="0" fillId="0" borderId="0" xfId="0" applyAlignment="1">
      <alignment vertical="center" wrapText="1"/>
    </xf>
    <xf numFmtId="166" fontId="0" fillId="0" borderId="0" xfId="0" applyNumberFormat="1"/>
    <xf numFmtId="2" fontId="0" fillId="0" borderId="0" xfId="0" applyNumberFormat="1"/>
    <xf numFmtId="0" fontId="13" fillId="0" borderId="0" xfId="0" applyFont="1"/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5" fillId="0" borderId="0" xfId="0" applyFont="1"/>
    <xf numFmtId="1" fontId="0" fillId="0" borderId="0" xfId="0" applyNumberFormat="1"/>
    <xf numFmtId="3" fontId="0" fillId="5" borderId="0" xfId="0" applyNumberFormat="1" applyFill="1"/>
    <xf numFmtId="3" fontId="2" fillId="5" borderId="0" xfId="0" applyNumberFormat="1" applyFont="1" applyFill="1"/>
    <xf numFmtId="3" fontId="0" fillId="5" borderId="0" xfId="0" applyNumberFormat="1" applyFont="1" applyFill="1"/>
    <xf numFmtId="9" fontId="0" fillId="0" borderId="0" xfId="0" applyNumberFormat="1"/>
    <xf numFmtId="0" fontId="17" fillId="3" borderId="0" xfId="0" applyFont="1" applyFill="1" applyAlignment="1">
      <alignment horizontal="right" vertical="center" wrapText="1"/>
    </xf>
    <xf numFmtId="0" fontId="2" fillId="2" borderId="0" xfId="0" applyFont="1" applyFill="1"/>
    <xf numFmtId="1" fontId="2" fillId="0" borderId="0" xfId="0" applyNumberFormat="1" applyFont="1" applyAlignment="1">
      <alignment horizontal="center"/>
    </xf>
    <xf numFmtId="2" fontId="2" fillId="2" borderId="0" xfId="1" applyNumberFormat="1" applyFont="1" applyFill="1" applyAlignment="1">
      <alignment horizontal="center"/>
    </xf>
    <xf numFmtId="0" fontId="14" fillId="0" borderId="0" xfId="0" applyFont="1"/>
    <xf numFmtId="0" fontId="2" fillId="0" borderId="0" xfId="0" quotePrefix="1" applyFont="1" applyAlignment="1">
      <alignment horizontal="right"/>
    </xf>
    <xf numFmtId="2" fontId="2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6" fillId="0" borderId="0" xfId="0" applyFont="1" applyAlignment="1">
      <alignment horizontal="center"/>
    </xf>
    <xf numFmtId="0" fontId="0" fillId="0" borderId="4" xfId="0" applyBorder="1"/>
    <xf numFmtId="0" fontId="2" fillId="0" borderId="15" xfId="0" applyFont="1" applyBorder="1"/>
    <xf numFmtId="0" fontId="0" fillId="0" borderId="9" xfId="0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167" fontId="0" fillId="0" borderId="0" xfId="0" applyNumberFormat="1" applyAlignment="1">
      <alignment horizontal="center"/>
    </xf>
    <xf numFmtId="0" fontId="2" fillId="0" borderId="13" xfId="0" applyFont="1" applyBorder="1"/>
    <xf numFmtId="0" fontId="18" fillId="0" borderId="0" xfId="0" applyFont="1"/>
    <xf numFmtId="0" fontId="2" fillId="4" borderId="1" xfId="0" quotePrefix="1" applyFont="1" applyFill="1" applyBorder="1" applyAlignment="1">
      <alignment horizontal="center"/>
    </xf>
    <xf numFmtId="4" fontId="2" fillId="0" borderId="4" xfId="0" applyNumberFormat="1" applyFont="1" applyBorder="1"/>
    <xf numFmtId="4" fontId="2" fillId="0" borderId="5" xfId="0" applyNumberFormat="1" applyFont="1" applyBorder="1"/>
    <xf numFmtId="0" fontId="2" fillId="0" borderId="10" xfId="0" applyFont="1" applyBorder="1"/>
    <xf numFmtId="0" fontId="0" fillId="0" borderId="10" xfId="0" applyBorder="1"/>
    <xf numFmtId="3" fontId="2" fillId="0" borderId="11" xfId="0" applyNumberFormat="1" applyFont="1" applyBorder="1"/>
    <xf numFmtId="3" fontId="2" fillId="0" borderId="12" xfId="0" applyNumberFormat="1" applyFont="1" applyBorder="1"/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8"/>
  <sheetViews>
    <sheetView tabSelected="1" topLeftCell="A93" workbookViewId="0">
      <selection activeCell="G102" sqref="G102"/>
    </sheetView>
  </sheetViews>
  <sheetFormatPr baseColWidth="10" defaultRowHeight="14.4" x14ac:dyDescent="0.3"/>
  <cols>
    <col min="1" max="1" width="5.5546875" customWidth="1"/>
    <col min="2" max="2" width="10.21875" customWidth="1"/>
    <col min="3" max="3" width="10.77734375" customWidth="1"/>
    <col min="4" max="4" width="9" customWidth="1"/>
    <col min="5" max="5" width="8.88671875" customWidth="1"/>
    <col min="6" max="6" width="11.21875" customWidth="1"/>
    <col min="7" max="7" width="9.21875" customWidth="1"/>
    <col min="8" max="8" width="10" customWidth="1"/>
    <col min="9" max="9" width="12.33203125" customWidth="1"/>
    <col min="10" max="10" width="11.6640625" customWidth="1"/>
    <col min="11" max="12" width="2.6640625" customWidth="1"/>
    <col min="13" max="14" width="4.33203125" customWidth="1"/>
    <col min="15" max="15" width="15.44140625" customWidth="1"/>
    <col min="16" max="17" width="4.33203125" customWidth="1"/>
    <col min="18" max="18" width="14.44140625" customWidth="1"/>
    <col min="19" max="20" width="4.33203125" customWidth="1"/>
    <col min="21" max="21" width="14.5546875" customWidth="1"/>
    <col min="22" max="23" width="4.33203125" customWidth="1"/>
    <col min="24" max="24" width="14.33203125" customWidth="1"/>
    <col min="25" max="26" width="4.33203125" customWidth="1"/>
    <col min="27" max="27" width="14.109375" customWidth="1"/>
    <col min="29" max="35" width="7.33203125" customWidth="1"/>
  </cols>
  <sheetData>
    <row r="1" spans="1:9" x14ac:dyDescent="0.3">
      <c r="A1" s="95" t="s">
        <v>65</v>
      </c>
      <c r="B1" s="71"/>
      <c r="C1" s="71"/>
      <c r="D1" s="71"/>
      <c r="E1" s="71" t="s">
        <v>67</v>
      </c>
      <c r="F1" s="71"/>
    </row>
    <row r="2" spans="1:9" x14ac:dyDescent="0.3">
      <c r="A2" s="95" t="s">
        <v>14</v>
      </c>
      <c r="B2" s="71"/>
      <c r="C2" s="71"/>
      <c r="D2" s="71"/>
      <c r="E2" s="71"/>
      <c r="F2" s="71"/>
    </row>
    <row r="3" spans="1:9" x14ac:dyDescent="0.3">
      <c r="A3" s="95" t="s">
        <v>66</v>
      </c>
      <c r="B3" s="71"/>
      <c r="C3" s="71"/>
      <c r="D3" s="71"/>
      <c r="E3" s="71"/>
      <c r="F3" s="71"/>
    </row>
    <row r="5" spans="1:9" x14ac:dyDescent="0.3">
      <c r="A5" s="17" t="s">
        <v>4</v>
      </c>
      <c r="B5" s="40" t="s">
        <v>69</v>
      </c>
      <c r="C5" s="36"/>
      <c r="D5" s="36"/>
      <c r="E5" s="58"/>
      <c r="F5" s="36"/>
      <c r="G5" s="36"/>
      <c r="H5" s="36"/>
      <c r="I5" s="36"/>
    </row>
    <row r="6" spans="1:9" x14ac:dyDescent="0.3">
      <c r="A6" s="17"/>
      <c r="B6" s="36"/>
      <c r="C6" s="59">
        <v>0.59762731481481479</v>
      </c>
      <c r="D6" s="40" t="s">
        <v>71</v>
      </c>
      <c r="E6" s="58"/>
      <c r="F6" s="36"/>
      <c r="G6" s="36"/>
      <c r="H6" s="36"/>
      <c r="I6" s="36"/>
    </row>
    <row r="7" spans="1:9" x14ac:dyDescent="0.3">
      <c r="A7" s="17"/>
      <c r="B7" s="36"/>
      <c r="C7" s="59">
        <v>0.59750000000000003</v>
      </c>
      <c r="D7" s="40" t="s">
        <v>74</v>
      </c>
      <c r="E7" s="58"/>
      <c r="F7" s="36"/>
      <c r="G7" s="36"/>
      <c r="H7" s="36"/>
      <c r="I7" s="36"/>
    </row>
    <row r="8" spans="1:9" x14ac:dyDescent="0.3">
      <c r="A8" s="17"/>
      <c r="B8" s="36"/>
      <c r="C8" s="59">
        <v>0.59741898148148154</v>
      </c>
      <c r="D8" s="40" t="s">
        <v>75</v>
      </c>
      <c r="E8" s="58"/>
      <c r="F8" s="36"/>
      <c r="G8" s="36"/>
      <c r="H8" s="36"/>
      <c r="I8" s="36"/>
    </row>
    <row r="9" spans="1:9" ht="15" thickBot="1" x14ac:dyDescent="0.35"/>
    <row r="10" spans="1:9" ht="15" thickBot="1" x14ac:dyDescent="0.35">
      <c r="C10" s="125" t="s">
        <v>68</v>
      </c>
      <c r="D10" s="126"/>
      <c r="E10" s="126"/>
      <c r="F10" s="127"/>
    </row>
    <row r="11" spans="1:9" ht="15" thickBot="1" x14ac:dyDescent="0.35">
      <c r="C11" s="123" t="s">
        <v>2</v>
      </c>
      <c r="D11" s="124"/>
      <c r="E11" s="123" t="s">
        <v>3</v>
      </c>
      <c r="F11" s="124"/>
    </row>
    <row r="12" spans="1:9" ht="15" thickBot="1" x14ac:dyDescent="0.35">
      <c r="C12" s="4" t="s">
        <v>0</v>
      </c>
      <c r="D12" s="5" t="s">
        <v>1</v>
      </c>
      <c r="E12" s="5" t="s">
        <v>1</v>
      </c>
      <c r="F12" s="6" t="s">
        <v>0</v>
      </c>
    </row>
    <row r="13" spans="1:9" x14ac:dyDescent="0.3">
      <c r="C13" s="7">
        <v>5500</v>
      </c>
      <c r="D13" s="8">
        <v>123.2</v>
      </c>
      <c r="E13" s="13">
        <v>123.4</v>
      </c>
      <c r="F13" s="34">
        <v>3600</v>
      </c>
    </row>
    <row r="14" spans="1:9" x14ac:dyDescent="0.3">
      <c r="C14" s="9">
        <v>7200</v>
      </c>
      <c r="D14" s="10">
        <v>123.1</v>
      </c>
      <c r="E14" s="14">
        <v>123.5</v>
      </c>
      <c r="F14" s="19">
        <v>9500</v>
      </c>
    </row>
    <row r="15" spans="1:9" ht="15" thickBot="1" x14ac:dyDescent="0.35">
      <c r="C15" s="11">
        <v>3100</v>
      </c>
      <c r="D15" s="12">
        <v>123</v>
      </c>
      <c r="E15" s="15">
        <v>123.6</v>
      </c>
      <c r="F15" s="16">
        <v>2300</v>
      </c>
      <c r="I15" t="s">
        <v>70</v>
      </c>
    </row>
    <row r="16" spans="1:9" ht="15" thickBot="1" x14ac:dyDescent="0.35">
      <c r="I16" t="s">
        <v>75</v>
      </c>
    </row>
    <row r="17" spans="3:9" ht="15" thickBot="1" x14ac:dyDescent="0.35">
      <c r="C17" s="125" t="s">
        <v>72</v>
      </c>
      <c r="D17" s="126"/>
      <c r="E17" s="126"/>
      <c r="F17" s="127"/>
      <c r="I17" t="s">
        <v>201</v>
      </c>
    </row>
    <row r="18" spans="3:9" ht="15" thickBot="1" x14ac:dyDescent="0.35">
      <c r="C18" s="123" t="s">
        <v>2</v>
      </c>
      <c r="D18" s="124"/>
      <c r="E18" s="123" t="s">
        <v>3</v>
      </c>
      <c r="F18" s="124"/>
    </row>
    <row r="19" spans="3:9" ht="15" thickBot="1" x14ac:dyDescent="0.35">
      <c r="C19" s="4" t="s">
        <v>0</v>
      </c>
      <c r="D19" s="5" t="s">
        <v>1</v>
      </c>
      <c r="E19" s="79" t="s">
        <v>1</v>
      </c>
      <c r="F19" s="80" t="s">
        <v>0</v>
      </c>
    </row>
    <row r="20" spans="3:9" x14ac:dyDescent="0.3">
      <c r="C20" s="82">
        <v>1500</v>
      </c>
      <c r="D20" s="76">
        <v>123.2</v>
      </c>
      <c r="E20" s="13">
        <v>123.4</v>
      </c>
      <c r="F20" s="34">
        <v>3600</v>
      </c>
    </row>
    <row r="21" spans="3:9" x14ac:dyDescent="0.3">
      <c r="C21" s="9">
        <v>7200</v>
      </c>
      <c r="D21" s="77">
        <v>123.1</v>
      </c>
      <c r="E21" s="14">
        <v>123.5</v>
      </c>
      <c r="F21" s="19">
        <v>9500</v>
      </c>
      <c r="I21" s="1"/>
    </row>
    <row r="22" spans="3:9" ht="15" thickBot="1" x14ac:dyDescent="0.35">
      <c r="C22" s="11">
        <v>3100</v>
      </c>
      <c r="D22" s="78">
        <v>123</v>
      </c>
      <c r="E22" s="15">
        <v>123.6</v>
      </c>
      <c r="F22" s="16">
        <v>2300</v>
      </c>
      <c r="I22" t="s">
        <v>73</v>
      </c>
    </row>
    <row r="23" spans="3:9" ht="15" thickBot="1" x14ac:dyDescent="0.35">
      <c r="I23" t="s">
        <v>74</v>
      </c>
    </row>
    <row r="24" spans="3:9" ht="15" thickBot="1" x14ac:dyDescent="0.35">
      <c r="C24" s="125" t="s">
        <v>77</v>
      </c>
      <c r="D24" s="126"/>
      <c r="E24" s="126"/>
      <c r="F24" s="127"/>
      <c r="I24" t="s">
        <v>202</v>
      </c>
    </row>
    <row r="25" spans="3:9" ht="15" thickBot="1" x14ac:dyDescent="0.35">
      <c r="C25" s="123" t="s">
        <v>2</v>
      </c>
      <c r="D25" s="124"/>
      <c r="E25" s="123" t="s">
        <v>3</v>
      </c>
      <c r="F25" s="124"/>
    </row>
    <row r="26" spans="3:9" ht="15" thickBot="1" x14ac:dyDescent="0.35">
      <c r="C26" s="81" t="s">
        <v>0</v>
      </c>
      <c r="D26" s="79" t="s">
        <v>1</v>
      </c>
      <c r="E26" s="5" t="s">
        <v>1</v>
      </c>
      <c r="F26" s="6" t="s">
        <v>0</v>
      </c>
    </row>
    <row r="27" spans="3:9" x14ac:dyDescent="0.3">
      <c r="C27" s="82">
        <v>6000</v>
      </c>
      <c r="D27" s="83">
        <v>123.3</v>
      </c>
      <c r="E27" s="76">
        <v>123.4</v>
      </c>
      <c r="F27" s="34">
        <v>3600</v>
      </c>
    </row>
    <row r="28" spans="3:9" x14ac:dyDescent="0.3">
      <c r="C28" s="9">
        <v>1500</v>
      </c>
      <c r="D28" s="10">
        <v>123.2</v>
      </c>
      <c r="E28" s="77">
        <v>123.5</v>
      </c>
      <c r="F28" s="19">
        <v>9500</v>
      </c>
    </row>
    <row r="29" spans="3:9" ht="15" thickBot="1" x14ac:dyDescent="0.35">
      <c r="C29" s="11">
        <v>7200</v>
      </c>
      <c r="D29" s="12">
        <v>123.1</v>
      </c>
      <c r="E29" s="78">
        <v>123.6</v>
      </c>
      <c r="F29" s="16">
        <v>2300</v>
      </c>
      <c r="I29" t="s">
        <v>76</v>
      </c>
    </row>
    <row r="30" spans="3:9" ht="15" thickBot="1" x14ac:dyDescent="0.35">
      <c r="I30" t="s">
        <v>71</v>
      </c>
    </row>
    <row r="31" spans="3:9" ht="15" thickBot="1" x14ac:dyDescent="0.35">
      <c r="C31" s="125" t="s">
        <v>78</v>
      </c>
      <c r="D31" s="126"/>
      <c r="E31" s="126"/>
      <c r="F31" s="127"/>
      <c r="I31" t="s">
        <v>196</v>
      </c>
    </row>
    <row r="32" spans="3:9" ht="15" thickBot="1" x14ac:dyDescent="0.35">
      <c r="C32" s="123" t="s">
        <v>2</v>
      </c>
      <c r="D32" s="124"/>
      <c r="E32" s="123" t="s">
        <v>3</v>
      </c>
      <c r="F32" s="124"/>
    </row>
    <row r="33" spans="1:27" ht="15" thickBot="1" x14ac:dyDescent="0.35">
      <c r="C33" s="4" t="s">
        <v>0</v>
      </c>
      <c r="D33" s="6" t="s">
        <v>1</v>
      </c>
      <c r="E33" s="85" t="s">
        <v>1</v>
      </c>
      <c r="F33" s="6" t="s">
        <v>0</v>
      </c>
    </row>
    <row r="34" spans="1:27" ht="15" thickBot="1" x14ac:dyDescent="0.35">
      <c r="C34" s="82">
        <v>1000</v>
      </c>
      <c r="D34" s="83">
        <v>123.3</v>
      </c>
      <c r="E34" s="76">
        <v>123.4</v>
      </c>
      <c r="F34" s="34">
        <v>3600</v>
      </c>
      <c r="N34" s="20"/>
      <c r="O34" s="23" t="s">
        <v>79</v>
      </c>
      <c r="Q34" s="20"/>
      <c r="R34" s="23" t="s">
        <v>80</v>
      </c>
      <c r="T34" s="20"/>
      <c r="U34" s="23" t="s">
        <v>81</v>
      </c>
      <c r="W34" s="20"/>
      <c r="X34" s="23" t="s">
        <v>82</v>
      </c>
      <c r="Z34" s="20"/>
      <c r="AA34" s="23" t="s">
        <v>83</v>
      </c>
    </row>
    <row r="35" spans="1:27" ht="15" thickBot="1" x14ac:dyDescent="0.35">
      <c r="C35" s="9">
        <v>1500</v>
      </c>
      <c r="D35" s="10">
        <v>123.2</v>
      </c>
      <c r="E35" s="77">
        <v>123.5</v>
      </c>
      <c r="F35" s="19">
        <v>9500</v>
      </c>
      <c r="I35" s="1"/>
      <c r="N35" s="20"/>
      <c r="O35" s="23" t="s">
        <v>79</v>
      </c>
      <c r="Q35" s="20"/>
      <c r="R35" s="23" t="s">
        <v>80</v>
      </c>
      <c r="T35" s="21" t="s">
        <v>5</v>
      </c>
      <c r="U35" s="23" t="s">
        <v>81</v>
      </c>
      <c r="W35" s="20"/>
      <c r="X35" s="23" t="s">
        <v>82</v>
      </c>
      <c r="Z35" s="20"/>
      <c r="AA35" s="23" t="s">
        <v>83</v>
      </c>
    </row>
    <row r="36" spans="1:27" ht="15" thickBot="1" x14ac:dyDescent="0.35">
      <c r="C36" s="11">
        <v>7200</v>
      </c>
      <c r="D36" s="12">
        <v>123.1</v>
      </c>
      <c r="E36" s="78">
        <v>123.6</v>
      </c>
      <c r="F36" s="16">
        <v>2300</v>
      </c>
    </row>
    <row r="38" spans="1:27" x14ac:dyDescent="0.3">
      <c r="A38" s="17" t="s">
        <v>6</v>
      </c>
      <c r="B38" s="40" t="s">
        <v>155</v>
      </c>
      <c r="C38" s="36"/>
      <c r="D38" s="36"/>
      <c r="E38" s="58"/>
      <c r="F38" s="36"/>
      <c r="G38" s="36"/>
      <c r="H38" s="36"/>
      <c r="I38" s="36"/>
      <c r="J38" s="36"/>
    </row>
    <row r="39" spans="1:27" x14ac:dyDescent="0.3">
      <c r="B39" s="36"/>
      <c r="C39" s="59">
        <v>0.5944328703703704</v>
      </c>
      <c r="D39" s="40" t="s">
        <v>84</v>
      </c>
      <c r="E39" s="36"/>
      <c r="F39" s="36"/>
      <c r="G39" s="36"/>
      <c r="H39" s="36"/>
      <c r="I39" s="36"/>
      <c r="J39" s="36"/>
    </row>
    <row r="40" spans="1:27" x14ac:dyDescent="0.3">
      <c r="B40" s="36"/>
      <c r="C40" s="59">
        <v>0.5940509259259259</v>
      </c>
      <c r="D40" s="40" t="s">
        <v>88</v>
      </c>
      <c r="E40" s="36"/>
      <c r="F40" s="36"/>
      <c r="G40" s="36"/>
      <c r="H40" s="36"/>
      <c r="I40" s="36"/>
      <c r="J40" s="36"/>
    </row>
    <row r="41" spans="1:27" ht="15" thickBot="1" x14ac:dyDescent="0.35"/>
    <row r="42" spans="1:27" ht="15" thickBot="1" x14ac:dyDescent="0.35">
      <c r="C42" s="125" t="s">
        <v>68</v>
      </c>
      <c r="D42" s="126"/>
      <c r="E42" s="126"/>
      <c r="F42" s="127"/>
    </row>
    <row r="43" spans="1:27" ht="15" thickBot="1" x14ac:dyDescent="0.35">
      <c r="C43" s="123" t="s">
        <v>2</v>
      </c>
      <c r="D43" s="124"/>
      <c r="E43" s="123" t="s">
        <v>3</v>
      </c>
      <c r="F43" s="124"/>
    </row>
    <row r="44" spans="1:27" ht="15" thickBot="1" x14ac:dyDescent="0.35">
      <c r="C44" s="4" t="s">
        <v>0</v>
      </c>
      <c r="D44" s="5" t="s">
        <v>1</v>
      </c>
      <c r="E44" s="5" t="s">
        <v>1</v>
      </c>
      <c r="F44" s="6" t="s">
        <v>0</v>
      </c>
      <c r="N44" s="20"/>
      <c r="O44" s="23" t="s">
        <v>89</v>
      </c>
      <c r="Q44" s="20"/>
      <c r="R44" s="23" t="s">
        <v>90</v>
      </c>
      <c r="T44" s="20"/>
      <c r="U44" s="23" t="s">
        <v>91</v>
      </c>
      <c r="W44" s="20"/>
      <c r="X44" s="23" t="s">
        <v>92</v>
      </c>
      <c r="Z44" s="20"/>
      <c r="AA44" s="23" t="s">
        <v>93</v>
      </c>
    </row>
    <row r="45" spans="1:27" ht="15" thickBot="1" x14ac:dyDescent="0.35">
      <c r="C45" s="7">
        <v>5500</v>
      </c>
      <c r="D45" s="8">
        <v>123.2</v>
      </c>
      <c r="E45" s="13">
        <v>123.4</v>
      </c>
      <c r="F45" s="34">
        <v>3600</v>
      </c>
      <c r="I45" s="1"/>
      <c r="N45" s="20"/>
      <c r="O45" s="23" t="s">
        <v>89</v>
      </c>
      <c r="Q45" s="20"/>
      <c r="R45" s="23" t="s">
        <v>90</v>
      </c>
      <c r="T45" s="20"/>
      <c r="U45" s="23" t="s">
        <v>91</v>
      </c>
      <c r="W45" s="20"/>
      <c r="X45" s="23" t="s">
        <v>92</v>
      </c>
      <c r="Z45" s="21" t="s">
        <v>5</v>
      </c>
      <c r="AA45" s="23" t="s">
        <v>93</v>
      </c>
    </row>
    <row r="46" spans="1:27" x14ac:dyDescent="0.3">
      <c r="C46" s="9">
        <v>7200</v>
      </c>
      <c r="D46" s="10">
        <v>123.1</v>
      </c>
      <c r="E46" s="14">
        <v>123.5</v>
      </c>
      <c r="F46" s="19">
        <v>9500</v>
      </c>
    </row>
    <row r="47" spans="1:27" ht="15" thickBot="1" x14ac:dyDescent="0.35">
      <c r="C47" s="11">
        <v>3100</v>
      </c>
      <c r="D47" s="12">
        <v>123</v>
      </c>
      <c r="E47" s="15">
        <v>123.6</v>
      </c>
      <c r="F47" s="16">
        <v>2300</v>
      </c>
      <c r="I47" t="s">
        <v>86</v>
      </c>
    </row>
    <row r="48" spans="1:27" ht="15" thickBot="1" x14ac:dyDescent="0.35">
      <c r="I48" t="s">
        <v>84</v>
      </c>
    </row>
    <row r="49" spans="1:11" ht="15" thickBot="1" x14ac:dyDescent="0.35">
      <c r="C49" s="125" t="s">
        <v>87</v>
      </c>
      <c r="D49" s="126"/>
      <c r="E49" s="126"/>
      <c r="F49" s="127"/>
      <c r="I49" s="71" t="s">
        <v>85</v>
      </c>
      <c r="J49" s="71"/>
      <c r="K49" s="71"/>
    </row>
    <row r="50" spans="1:11" ht="15" thickBot="1" x14ac:dyDescent="0.35">
      <c r="C50" s="123" t="s">
        <v>2</v>
      </c>
      <c r="D50" s="124"/>
      <c r="E50" s="123" t="s">
        <v>3</v>
      </c>
      <c r="F50" s="124"/>
    </row>
    <row r="51" spans="1:11" ht="15" thickBot="1" x14ac:dyDescent="0.35">
      <c r="C51" s="4" t="s">
        <v>0</v>
      </c>
      <c r="D51" s="5" t="s">
        <v>1</v>
      </c>
      <c r="E51" s="5" t="s">
        <v>1</v>
      </c>
      <c r="F51" s="6" t="s">
        <v>0</v>
      </c>
    </row>
    <row r="52" spans="1:11" x14ac:dyDescent="0.3">
      <c r="C52" s="7">
        <v>5500</v>
      </c>
      <c r="D52" s="8">
        <v>123.2</v>
      </c>
      <c r="E52" s="13">
        <v>123.4</v>
      </c>
      <c r="F52" s="84">
        <v>1800</v>
      </c>
    </row>
    <row r="53" spans="1:11" x14ac:dyDescent="0.3">
      <c r="C53" s="9">
        <v>7200</v>
      </c>
      <c r="D53" s="10">
        <v>123.1</v>
      </c>
      <c r="E53" s="14">
        <v>123.5</v>
      </c>
      <c r="F53" s="19">
        <v>9500</v>
      </c>
    </row>
    <row r="54" spans="1:11" ht="15" thickBot="1" x14ac:dyDescent="0.35">
      <c r="C54" s="11">
        <v>3100</v>
      </c>
      <c r="D54" s="12">
        <v>123</v>
      </c>
      <c r="E54" s="15">
        <v>123.6</v>
      </c>
      <c r="F54" s="16">
        <v>2300</v>
      </c>
      <c r="I54" t="s">
        <v>157</v>
      </c>
    </row>
    <row r="55" spans="1:11" ht="15" thickBot="1" x14ac:dyDescent="0.35">
      <c r="I55" t="s">
        <v>88</v>
      </c>
    </row>
    <row r="56" spans="1:11" ht="15" thickBot="1" x14ac:dyDescent="0.35">
      <c r="C56" s="125" t="s">
        <v>156</v>
      </c>
      <c r="D56" s="126"/>
      <c r="E56" s="126"/>
      <c r="F56" s="127"/>
      <c r="I56" s="71" t="s">
        <v>85</v>
      </c>
      <c r="J56" s="71"/>
      <c r="K56" s="71"/>
    </row>
    <row r="57" spans="1:11" ht="15" thickBot="1" x14ac:dyDescent="0.35">
      <c r="C57" s="123" t="s">
        <v>2</v>
      </c>
      <c r="D57" s="124"/>
      <c r="E57" s="123" t="s">
        <v>3</v>
      </c>
      <c r="F57" s="124"/>
      <c r="I57" s="1"/>
    </row>
    <row r="58" spans="1:11" ht="15" thickBot="1" x14ac:dyDescent="0.35">
      <c r="C58" s="81" t="s">
        <v>0</v>
      </c>
      <c r="D58" s="79" t="s">
        <v>1</v>
      </c>
      <c r="E58" s="79" t="s">
        <v>1</v>
      </c>
      <c r="F58" s="80" t="s">
        <v>0</v>
      </c>
    </row>
    <row r="59" spans="1:11" x14ac:dyDescent="0.3">
      <c r="C59" s="82">
        <v>4500</v>
      </c>
      <c r="D59" s="83">
        <v>123.2</v>
      </c>
      <c r="E59" s="13">
        <v>123.5</v>
      </c>
      <c r="F59" s="86">
        <v>9500</v>
      </c>
    </row>
    <row r="60" spans="1:11" x14ac:dyDescent="0.3">
      <c r="C60" s="9">
        <v>5500</v>
      </c>
      <c r="D60" s="10">
        <v>123.1</v>
      </c>
      <c r="E60" s="14">
        <v>123.6</v>
      </c>
      <c r="F60" s="19">
        <v>2300</v>
      </c>
    </row>
    <row r="61" spans="1:11" ht="15" thickBot="1" x14ac:dyDescent="0.35">
      <c r="C61" s="11">
        <v>7200</v>
      </c>
      <c r="D61" s="12">
        <v>123</v>
      </c>
      <c r="E61" s="15"/>
      <c r="F61" s="16"/>
    </row>
    <row r="63" spans="1:1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1" x14ac:dyDescent="0.3">
      <c r="A64" s="87" t="s">
        <v>94</v>
      </c>
      <c r="B64" s="36"/>
      <c r="C64" s="41"/>
      <c r="D64" s="36"/>
      <c r="E64" s="36"/>
      <c r="F64" s="36"/>
      <c r="G64" s="36"/>
      <c r="H64" s="36"/>
      <c r="I64" s="17"/>
      <c r="J64" s="17"/>
    </row>
    <row r="65" spans="1:27" x14ac:dyDescent="0.3">
      <c r="C65" s="74"/>
    </row>
    <row r="66" spans="1:27" x14ac:dyDescent="0.3">
      <c r="B66" s="74" t="s">
        <v>59</v>
      </c>
      <c r="C66" t="s">
        <v>15</v>
      </c>
      <c r="D66" t="s">
        <v>16</v>
      </c>
      <c r="F66" s="88" t="s">
        <v>95</v>
      </c>
      <c r="G66" s="88" t="s">
        <v>96</v>
      </c>
      <c r="H66" s="88" t="s">
        <v>97</v>
      </c>
    </row>
    <row r="67" spans="1:27" x14ac:dyDescent="0.3">
      <c r="B67">
        <v>123</v>
      </c>
      <c r="C67" s="89">
        <v>500</v>
      </c>
      <c r="D67">
        <v>400</v>
      </c>
      <c r="F67" s="1">
        <v>8700</v>
      </c>
      <c r="G67" s="90">
        <f>G68+D67</f>
        <v>9670</v>
      </c>
      <c r="H67">
        <f>ABS(F67-G67)</f>
        <v>970</v>
      </c>
    </row>
    <row r="68" spans="1:27" x14ac:dyDescent="0.3">
      <c r="B68" s="17">
        <v>122</v>
      </c>
      <c r="C68" s="89">
        <v>300</v>
      </c>
      <c r="D68">
        <v>450</v>
      </c>
      <c r="F68" s="91">
        <f>F67+C68</f>
        <v>9000</v>
      </c>
      <c r="G68" s="90">
        <f>G69+D68</f>
        <v>9270</v>
      </c>
      <c r="H68">
        <f t="shared" ref="H68:H70" si="0">ABS(F68-G68)</f>
        <v>270</v>
      </c>
      <c r="I68" s="99" t="s">
        <v>154</v>
      </c>
    </row>
    <row r="69" spans="1:27" x14ac:dyDescent="0.3">
      <c r="B69" s="61">
        <v>121</v>
      </c>
      <c r="C69" s="89">
        <v>140</v>
      </c>
      <c r="D69">
        <v>220</v>
      </c>
      <c r="F69" s="92">
        <f>F68+C69</f>
        <v>9140</v>
      </c>
      <c r="G69" s="90">
        <f>G70+D69</f>
        <v>8820</v>
      </c>
      <c r="H69">
        <f t="shared" si="0"/>
        <v>320</v>
      </c>
    </row>
    <row r="70" spans="1:27" x14ac:dyDescent="0.3">
      <c r="B70">
        <v>120</v>
      </c>
      <c r="C70" s="89">
        <v>250</v>
      </c>
      <c r="D70">
        <v>350</v>
      </c>
      <c r="F70" s="90">
        <f>F69+C70</f>
        <v>9390</v>
      </c>
      <c r="G70" s="1">
        <v>8600</v>
      </c>
      <c r="H70">
        <f t="shared" si="0"/>
        <v>790</v>
      </c>
    </row>
    <row r="71" spans="1:27" x14ac:dyDescent="0.3">
      <c r="C71" s="74"/>
    </row>
    <row r="72" spans="1:27" x14ac:dyDescent="0.3">
      <c r="B72" t="s">
        <v>12</v>
      </c>
      <c r="C72" s="89">
        <f>B68</f>
        <v>122</v>
      </c>
      <c r="F72" t="s">
        <v>13</v>
      </c>
      <c r="H72" s="1">
        <f>MIN(F68,G68)</f>
        <v>9000</v>
      </c>
      <c r="I72" t="s">
        <v>99</v>
      </c>
    </row>
    <row r="73" spans="1:27" x14ac:dyDescent="0.3">
      <c r="C73" s="74"/>
      <c r="I73" t="s">
        <v>100</v>
      </c>
    </row>
    <row r="74" spans="1:27" ht="15" thickBot="1" x14ac:dyDescent="0.35">
      <c r="C74" s="74"/>
    </row>
    <row r="75" spans="1:27" ht="15" thickBot="1" x14ac:dyDescent="0.35">
      <c r="B75" t="s">
        <v>98</v>
      </c>
      <c r="C75" s="89">
        <v>140</v>
      </c>
      <c r="D75">
        <v>121</v>
      </c>
      <c r="F75">
        <v>122</v>
      </c>
      <c r="G75">
        <v>270</v>
      </c>
      <c r="N75" s="20"/>
      <c r="O75" s="23" t="s">
        <v>101</v>
      </c>
      <c r="Q75" s="20"/>
      <c r="R75" s="23" t="s">
        <v>102</v>
      </c>
      <c r="T75" s="20"/>
      <c r="U75" s="23" t="s">
        <v>103</v>
      </c>
      <c r="W75" s="20"/>
      <c r="X75" s="23" t="s">
        <v>104</v>
      </c>
      <c r="Z75" s="20"/>
      <c r="AA75" s="23" t="s">
        <v>105</v>
      </c>
    </row>
    <row r="76" spans="1:27" ht="15" thickBot="1" x14ac:dyDescent="0.35">
      <c r="A76" s="17"/>
      <c r="B76" s="17"/>
      <c r="C76" s="17"/>
      <c r="D76" s="17"/>
      <c r="E76" s="17"/>
      <c r="F76" s="17"/>
      <c r="G76" s="17"/>
      <c r="H76" s="17"/>
      <c r="I76" s="17"/>
      <c r="J76" s="17"/>
      <c r="N76" s="20"/>
      <c r="O76" s="23" t="s">
        <v>101</v>
      </c>
      <c r="Q76" s="20"/>
      <c r="R76" s="23" t="s">
        <v>102</v>
      </c>
      <c r="T76" s="20"/>
      <c r="U76" s="23" t="s">
        <v>103</v>
      </c>
      <c r="W76" s="21" t="s">
        <v>5</v>
      </c>
      <c r="X76" s="23" t="s">
        <v>104</v>
      </c>
      <c r="Z76" s="20"/>
      <c r="AA76" s="23" t="s">
        <v>105</v>
      </c>
    </row>
    <row r="77" spans="1:27" ht="15" thickBot="1" x14ac:dyDescent="0.35"/>
    <row r="78" spans="1:27" ht="15" thickBot="1" x14ac:dyDescent="0.35">
      <c r="C78" s="123" t="s">
        <v>2</v>
      </c>
      <c r="D78" s="124"/>
      <c r="E78" s="123" t="s">
        <v>3</v>
      </c>
      <c r="F78" s="124"/>
    </row>
    <row r="79" spans="1:27" ht="15" thickBot="1" x14ac:dyDescent="0.35">
      <c r="C79" s="4" t="s">
        <v>0</v>
      </c>
      <c r="D79" s="5" t="s">
        <v>1</v>
      </c>
      <c r="E79" s="5" t="s">
        <v>1</v>
      </c>
      <c r="F79" s="6" t="s">
        <v>0</v>
      </c>
    </row>
    <row r="80" spans="1:27" x14ac:dyDescent="0.3">
      <c r="C80" s="101">
        <v>140</v>
      </c>
      <c r="D80" s="60">
        <v>121</v>
      </c>
      <c r="E80" s="100">
        <v>122</v>
      </c>
      <c r="F80" s="34">
        <v>270</v>
      </c>
    </row>
    <row r="81" spans="1:27" x14ac:dyDescent="0.3">
      <c r="C81" s="9">
        <v>250</v>
      </c>
      <c r="D81" s="10">
        <v>120</v>
      </c>
      <c r="E81" s="14">
        <v>123</v>
      </c>
      <c r="F81" s="19">
        <v>400</v>
      </c>
    </row>
    <row r="82" spans="1:27" ht="15" thickBot="1" x14ac:dyDescent="0.35">
      <c r="C82" s="11"/>
      <c r="D82" s="12"/>
      <c r="E82" s="15"/>
      <c r="F82" s="16"/>
    </row>
    <row r="84" spans="1:27" x14ac:dyDescent="0.3">
      <c r="A84" s="17" t="s">
        <v>39</v>
      </c>
      <c r="B84" s="40" t="s">
        <v>151</v>
      </c>
      <c r="C84" s="40"/>
      <c r="D84" s="40"/>
      <c r="E84" s="40"/>
      <c r="F84" s="40"/>
      <c r="G84" s="40"/>
      <c r="H84" s="40"/>
      <c r="I84" s="40"/>
    </row>
    <row r="85" spans="1:27" x14ac:dyDescent="0.3">
      <c r="B85" s="40" t="s">
        <v>106</v>
      </c>
      <c r="C85" s="40"/>
      <c r="D85" s="40"/>
      <c r="E85" s="40"/>
      <c r="F85" s="40"/>
      <c r="G85" s="40"/>
      <c r="H85" s="40"/>
      <c r="I85" s="40"/>
    </row>
    <row r="87" spans="1:27" ht="15" thickBot="1" x14ac:dyDescent="0.35">
      <c r="G87" t="s">
        <v>111</v>
      </c>
      <c r="H87" s="22">
        <v>4.3999999999999997E-2</v>
      </c>
      <c r="L87" t="s">
        <v>27</v>
      </c>
    </row>
    <row r="88" spans="1:27" ht="15" thickBot="1" x14ac:dyDescent="0.35">
      <c r="C88" t="s">
        <v>108</v>
      </c>
      <c r="D88" t="s">
        <v>109</v>
      </c>
      <c r="E88" t="s">
        <v>110</v>
      </c>
      <c r="N88" s="20"/>
      <c r="O88" s="54">
        <v>0.97</v>
      </c>
      <c r="P88" s="24"/>
      <c r="Q88" s="55"/>
      <c r="R88" s="54">
        <v>0.98</v>
      </c>
      <c r="S88" s="24"/>
      <c r="T88" s="55"/>
      <c r="U88" s="54">
        <v>0.99</v>
      </c>
      <c r="V88" s="24"/>
      <c r="W88" s="55"/>
      <c r="X88" s="54">
        <v>1</v>
      </c>
      <c r="Y88" s="24"/>
      <c r="Z88" s="55"/>
      <c r="AA88" s="54">
        <v>0.85</v>
      </c>
    </row>
    <row r="89" spans="1:27" ht="15" thickBot="1" x14ac:dyDescent="0.35">
      <c r="B89">
        <v>0</v>
      </c>
      <c r="D89" s="22"/>
      <c r="N89" s="20"/>
      <c r="O89" s="54">
        <v>0.97</v>
      </c>
      <c r="P89" s="24"/>
      <c r="Q89" s="55"/>
      <c r="R89" s="54">
        <v>0.98</v>
      </c>
      <c r="S89" s="24"/>
      <c r="T89" s="21" t="s">
        <v>5</v>
      </c>
      <c r="U89" s="54">
        <v>0.99</v>
      </c>
      <c r="V89" s="24"/>
      <c r="W89" s="55"/>
      <c r="X89" s="54">
        <v>1</v>
      </c>
      <c r="Y89" s="24"/>
      <c r="Z89" s="55"/>
      <c r="AA89" s="54">
        <v>0.85</v>
      </c>
    </row>
    <row r="90" spans="1:27" x14ac:dyDescent="0.3">
      <c r="B90">
        <v>1</v>
      </c>
      <c r="C90" s="93">
        <v>0.04</v>
      </c>
      <c r="D90" s="22">
        <v>0.25</v>
      </c>
      <c r="E90" s="28">
        <f>(C90+D90)/(1+$H$87)</f>
        <v>0.27777777777777773</v>
      </c>
    </row>
    <row r="91" spans="1:27" x14ac:dyDescent="0.3">
      <c r="B91">
        <v>2</v>
      </c>
      <c r="C91" s="93">
        <v>0.03</v>
      </c>
      <c r="D91" s="22">
        <f>D90</f>
        <v>0.25</v>
      </c>
      <c r="E91" s="28">
        <f>(C91+D91)/(1+$H$87)^B91</f>
        <v>0.25689581773608727</v>
      </c>
    </row>
    <row r="92" spans="1:27" x14ac:dyDescent="0.3">
      <c r="B92">
        <v>3</v>
      </c>
      <c r="C92" s="93">
        <v>0.02</v>
      </c>
      <c r="D92" s="22">
        <f t="shared" ref="D92:D93" si="1">D91</f>
        <v>0.25</v>
      </c>
      <c r="E92" s="28">
        <f t="shared" ref="E92:E93" si="2">(C92+D92)/(1+$H$87)^B92</f>
        <v>0.23728061983012982</v>
      </c>
    </row>
    <row r="93" spans="1:27" x14ac:dyDescent="0.3">
      <c r="B93">
        <v>4</v>
      </c>
      <c r="C93" s="93">
        <v>0.01</v>
      </c>
      <c r="D93" s="22">
        <f t="shared" si="1"/>
        <v>0.25</v>
      </c>
      <c r="E93" s="28">
        <f t="shared" si="2"/>
        <v>0.21886249877903277</v>
      </c>
    </row>
    <row r="94" spans="1:27" x14ac:dyDescent="0.3">
      <c r="D94" s="22"/>
    </row>
    <row r="95" spans="1:27" ht="15" thickBot="1" x14ac:dyDescent="0.35"/>
    <row r="96" spans="1:27" ht="15" thickBot="1" x14ac:dyDescent="0.35">
      <c r="D96" t="s">
        <v>107</v>
      </c>
      <c r="E96" s="25">
        <f>SUM(E90:E93)</f>
        <v>0.99081671412302763</v>
      </c>
    </row>
    <row r="98" spans="1:27" x14ac:dyDescent="0.3">
      <c r="A98" s="17" t="s">
        <v>40</v>
      </c>
      <c r="B98" s="35" t="s">
        <v>115</v>
      </c>
      <c r="C98" s="36"/>
      <c r="D98" s="37"/>
      <c r="E98" s="37"/>
      <c r="F98" s="37"/>
      <c r="G98" s="37"/>
      <c r="H98" s="38"/>
      <c r="I98" s="39"/>
      <c r="J98" s="36"/>
      <c r="K98" s="36"/>
      <c r="L98" s="36"/>
    </row>
    <row r="99" spans="1:27" x14ac:dyDescent="0.3">
      <c r="B99" s="40" t="s">
        <v>148</v>
      </c>
      <c r="C99" s="41"/>
      <c r="D99" s="36"/>
      <c r="E99" s="36"/>
      <c r="F99" s="36"/>
      <c r="G99" s="36"/>
      <c r="H99" s="38"/>
      <c r="I99" s="39"/>
      <c r="J99" s="36"/>
      <c r="K99" s="36"/>
      <c r="L99" s="36"/>
    </row>
    <row r="101" spans="1:27" ht="16.8" thickBot="1" x14ac:dyDescent="0.35">
      <c r="C101" t="s">
        <v>204</v>
      </c>
      <c r="E101" s="24">
        <f>1/(1.035)^16</f>
        <v>0.57670591171478747</v>
      </c>
    </row>
    <row r="102" spans="1:27" ht="15" thickBot="1" x14ac:dyDescent="0.35">
      <c r="C102" t="s">
        <v>112</v>
      </c>
      <c r="E102">
        <v>16</v>
      </c>
      <c r="N102" s="20"/>
      <c r="O102" s="54">
        <v>-5.2999999999999999E-2</v>
      </c>
      <c r="P102" s="24"/>
      <c r="Q102" s="55"/>
      <c r="R102" s="54">
        <v>-6.8400000000000002E-2</v>
      </c>
      <c r="S102" s="24"/>
      <c r="T102" s="55"/>
      <c r="U102" s="54">
        <v>-7.1999999999999995E-2</v>
      </c>
      <c r="V102" s="24"/>
      <c r="W102" s="55"/>
      <c r="X102" s="54">
        <v>-3.6900000000000002E-2</v>
      </c>
      <c r="Y102" s="24"/>
      <c r="Z102" s="55"/>
      <c r="AA102" s="54">
        <v>7.5999999999999998E-2</v>
      </c>
    </row>
    <row r="103" spans="1:27" ht="15" thickBot="1" x14ac:dyDescent="0.35">
      <c r="C103" t="s">
        <v>113</v>
      </c>
      <c r="E103">
        <f>E102*21</f>
        <v>336</v>
      </c>
      <c r="N103" s="20"/>
      <c r="O103" s="54">
        <v>-5.2999999999999999E-2</v>
      </c>
      <c r="P103" s="24"/>
      <c r="Q103" s="55"/>
      <c r="R103" s="54">
        <v>-6.8400000000000002E-2</v>
      </c>
      <c r="S103" s="24"/>
      <c r="T103" s="55"/>
      <c r="U103" s="54">
        <v>-7.1999999999999995E-2</v>
      </c>
      <c r="V103" s="24"/>
      <c r="W103" s="21" t="s">
        <v>5</v>
      </c>
      <c r="X103" s="54">
        <v>-3.6900000000000002E-2</v>
      </c>
      <c r="Y103" s="24"/>
      <c r="Z103" s="55"/>
      <c r="AA103" s="54">
        <v>7.5999999999999998E-2</v>
      </c>
    </row>
    <row r="106" spans="1:27" ht="15" thickBot="1" x14ac:dyDescent="0.35">
      <c r="C106" t="s">
        <v>17</v>
      </c>
    </row>
    <row r="107" spans="1:27" ht="15" thickBot="1" x14ac:dyDescent="0.35">
      <c r="E107" s="63">
        <f>-E102*(0.2%/(1+3.5%)) + (E103/2)*(0.2%/(1+3.5%))^2</f>
        <v>-3.0290555205489046E-2</v>
      </c>
    </row>
    <row r="108" spans="1:27" x14ac:dyDescent="0.3">
      <c r="E108" s="24"/>
    </row>
    <row r="109" spans="1:27" ht="15" thickBot="1" x14ac:dyDescent="0.35">
      <c r="C109" t="s">
        <v>114</v>
      </c>
      <c r="D109" s="24">
        <f>1/(1.037)^16</f>
        <v>0.55916489458428953</v>
      </c>
      <c r="F109" t="s">
        <v>45</v>
      </c>
    </row>
    <row r="110" spans="1:27" ht="15" thickBot="1" x14ac:dyDescent="0.35">
      <c r="C110" t="s">
        <v>18</v>
      </c>
      <c r="D110" s="64">
        <f>(D109-E101)/E101</f>
        <v>-3.0415878828675729E-2</v>
      </c>
      <c r="G110" t="s">
        <v>44</v>
      </c>
    </row>
    <row r="112" spans="1:27" x14ac:dyDescent="0.3">
      <c r="A112" s="17" t="s">
        <v>10</v>
      </c>
      <c r="B112" s="40" t="s">
        <v>152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27" ht="15.6" x14ac:dyDescent="0.35">
      <c r="B113" s="40" t="s">
        <v>153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5" spans="1:27" x14ac:dyDescent="0.3">
      <c r="B115" s="43"/>
      <c r="D115" s="3" t="s">
        <v>19</v>
      </c>
      <c r="E115" s="3" t="s">
        <v>20</v>
      </c>
      <c r="G115" t="s">
        <v>116</v>
      </c>
      <c r="I115" s="22">
        <f>E117</f>
        <v>2.3003925417075299E-2</v>
      </c>
    </row>
    <row r="116" spans="1:27" ht="15" thickBot="1" x14ac:dyDescent="0.35">
      <c r="B116" s="43"/>
      <c r="C116">
        <v>1</v>
      </c>
      <c r="D116" s="33">
        <v>1.9E-2</v>
      </c>
      <c r="E116" s="33">
        <f>D116</f>
        <v>1.9E-2</v>
      </c>
      <c r="G116" t="s">
        <v>117</v>
      </c>
      <c r="I116" s="22">
        <f>E118</f>
        <v>2.7011760857448941E-2</v>
      </c>
    </row>
    <row r="117" spans="1:27" ht="15" thickBot="1" x14ac:dyDescent="0.35">
      <c r="B117" s="44"/>
      <c r="C117">
        <v>2</v>
      </c>
      <c r="D117" s="33">
        <v>2.1000000000000001E-2</v>
      </c>
      <c r="E117" s="33">
        <f>(1+D117)^C117/(1+D116)^C116-1</f>
        <v>2.3003925417075299E-2</v>
      </c>
      <c r="G117" t="s">
        <v>118</v>
      </c>
      <c r="I117" s="22">
        <f>E119</f>
        <v>3.5052889197699333E-2</v>
      </c>
      <c r="N117" s="20"/>
      <c r="O117" s="23">
        <v>-26000</v>
      </c>
      <c r="Q117" s="20"/>
      <c r="R117" s="23">
        <v>-15700</v>
      </c>
      <c r="T117" s="20"/>
      <c r="U117" s="23">
        <v>1300</v>
      </c>
      <c r="W117" s="20"/>
      <c r="X117" s="23">
        <v>27000</v>
      </c>
      <c r="Z117" s="20"/>
      <c r="AA117" s="23">
        <v>34000</v>
      </c>
    </row>
    <row r="118" spans="1:27" ht="15" thickBot="1" x14ac:dyDescent="0.35">
      <c r="C118">
        <v>3</v>
      </c>
      <c r="D118" s="33">
        <v>2.3E-2</v>
      </c>
      <c r="E118" s="33">
        <f>(1+D118)^C118/(1+D117)^C117-1</f>
        <v>2.7011760857448941E-2</v>
      </c>
      <c r="N118" s="20"/>
      <c r="O118" s="23">
        <v>-26000</v>
      </c>
      <c r="Q118" s="20"/>
      <c r="R118" s="23">
        <v>-15700</v>
      </c>
      <c r="T118" s="20"/>
      <c r="U118" s="23">
        <v>1300</v>
      </c>
      <c r="W118" s="20"/>
      <c r="X118" s="23">
        <v>27000</v>
      </c>
      <c r="Z118" s="21" t="s">
        <v>5</v>
      </c>
      <c r="AA118" s="23">
        <v>34000</v>
      </c>
    </row>
    <row r="119" spans="1:27" x14ac:dyDescent="0.3">
      <c r="C119">
        <v>4</v>
      </c>
      <c r="D119" s="33">
        <v>2.5999999999999999E-2</v>
      </c>
      <c r="E119" s="42">
        <f>(1+D119)^C119/(1+D118)^C118-1</f>
        <v>3.5052889197699333E-2</v>
      </c>
      <c r="G119" t="s">
        <v>119</v>
      </c>
      <c r="I119" s="24">
        <f>SQRT((1+E118)*(1+E119))-1</f>
        <v>3.1024485798237134E-2</v>
      </c>
    </row>
    <row r="121" spans="1:27" x14ac:dyDescent="0.3">
      <c r="C121" t="s">
        <v>21</v>
      </c>
      <c r="E121" s="45">
        <f>14000000*(3.1%-2.85%)/(1+2.85%)^2</f>
        <v>33087.15700730445</v>
      </c>
      <c r="F121" s="45"/>
      <c r="G121" s="98"/>
    </row>
    <row r="122" spans="1:27" x14ac:dyDescent="0.3">
      <c r="E122" s="45"/>
    </row>
    <row r="123" spans="1:27" x14ac:dyDescent="0.3">
      <c r="A123" s="17" t="s">
        <v>11</v>
      </c>
      <c r="B123" s="62" t="s">
        <v>29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27" x14ac:dyDescent="0.3">
      <c r="B124" s="35" t="s">
        <v>149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6" spans="1:27" ht="15" thickBot="1" x14ac:dyDescent="0.35">
      <c r="F126" t="s">
        <v>27</v>
      </c>
    </row>
    <row r="127" spans="1:27" ht="15" thickBot="1" x14ac:dyDescent="0.35">
      <c r="B127" t="s">
        <v>120</v>
      </c>
      <c r="D127" s="50">
        <v>9.75</v>
      </c>
      <c r="E127" s="50">
        <v>9.92</v>
      </c>
      <c r="N127" s="20"/>
      <c r="O127" s="23" t="s">
        <v>123</v>
      </c>
      <c r="Q127" s="20"/>
      <c r="R127" s="23" t="s">
        <v>127</v>
      </c>
      <c r="T127" s="20"/>
      <c r="U127" s="23" t="s">
        <v>124</v>
      </c>
      <c r="W127" s="20"/>
      <c r="X127" s="23" t="s">
        <v>125</v>
      </c>
      <c r="Z127" s="20"/>
      <c r="AA127" s="23" t="s">
        <v>126</v>
      </c>
    </row>
    <row r="128" spans="1:27" ht="15" thickBot="1" x14ac:dyDescent="0.35">
      <c r="B128" t="s">
        <v>121</v>
      </c>
      <c r="D128" s="33">
        <v>1.4E-2</v>
      </c>
      <c r="E128" s="33">
        <v>1.66E-2</v>
      </c>
      <c r="N128" s="21" t="s">
        <v>5</v>
      </c>
      <c r="O128" s="23" t="s">
        <v>123</v>
      </c>
      <c r="Q128" s="20"/>
      <c r="R128" s="23" t="s">
        <v>127</v>
      </c>
      <c r="T128" s="20"/>
      <c r="U128" s="23" t="s">
        <v>124</v>
      </c>
      <c r="W128" s="20"/>
      <c r="X128" s="23" t="s">
        <v>125</v>
      </c>
      <c r="Z128" s="20"/>
      <c r="AA128" s="23" t="s">
        <v>126</v>
      </c>
    </row>
    <row r="129" spans="1:27" x14ac:dyDescent="0.3">
      <c r="B129" t="s">
        <v>122</v>
      </c>
      <c r="D129" s="33">
        <v>2.1000000000000001E-2</v>
      </c>
      <c r="E129" s="33">
        <v>2.3E-2</v>
      </c>
    </row>
    <row r="130" spans="1:27" ht="15" thickBot="1" x14ac:dyDescent="0.35"/>
    <row r="131" spans="1:27" ht="15" thickBot="1" x14ac:dyDescent="0.35">
      <c r="B131" t="s">
        <v>28</v>
      </c>
      <c r="D131" s="49">
        <f>D127*(1+E128/6)/(1+D129/6)</f>
        <v>9.7428749377179855</v>
      </c>
      <c r="E131" s="32">
        <f>E127*(1+D128/6)/(1+E129/6)</f>
        <v>9.9051768221816356</v>
      </c>
    </row>
    <row r="133" spans="1:27" x14ac:dyDescent="0.3">
      <c r="A133" s="17" t="s">
        <v>41</v>
      </c>
      <c r="B133" s="40" t="s">
        <v>25</v>
      </c>
      <c r="C133" s="36"/>
      <c r="D133" s="36"/>
      <c r="E133" s="36"/>
      <c r="F133" s="36"/>
      <c r="G133" s="36"/>
      <c r="H133" s="36"/>
      <c r="I133" s="36"/>
    </row>
    <row r="134" spans="1:27" x14ac:dyDescent="0.3">
      <c r="B134" s="40" t="s">
        <v>128</v>
      </c>
      <c r="C134" s="36"/>
      <c r="D134" s="36"/>
      <c r="E134" s="36"/>
      <c r="F134" s="36"/>
      <c r="G134" s="36"/>
      <c r="H134" s="36"/>
      <c r="I134" s="36"/>
    </row>
    <row r="135" spans="1:27" ht="15" thickBot="1" x14ac:dyDescent="0.35"/>
    <row r="136" spans="1:27" ht="15" thickBot="1" x14ac:dyDescent="0.35">
      <c r="B136" s="27" t="s">
        <v>26</v>
      </c>
      <c r="C136" s="28">
        <v>0.91559999999999997</v>
      </c>
      <c r="E136" t="s">
        <v>23</v>
      </c>
      <c r="F136" s="28">
        <f>1/C136</f>
        <v>1.09217999126256</v>
      </c>
      <c r="G136" s="26"/>
      <c r="N136" s="20"/>
      <c r="O136" s="56">
        <v>1.6519999999999999</v>
      </c>
      <c r="P136" s="51"/>
      <c r="Q136" s="57"/>
      <c r="R136" s="56">
        <v>1.694</v>
      </c>
      <c r="S136" s="51"/>
      <c r="T136" s="57"/>
      <c r="U136" s="56">
        <v>1.7</v>
      </c>
      <c r="V136" s="51"/>
      <c r="W136" s="57"/>
      <c r="X136" s="56">
        <v>1.43</v>
      </c>
      <c r="Y136" s="51"/>
      <c r="Z136" s="57"/>
      <c r="AA136" s="56">
        <v>2.66</v>
      </c>
    </row>
    <row r="137" spans="1:27" ht="15" thickBot="1" x14ac:dyDescent="0.35">
      <c r="B137" s="27" t="s">
        <v>7</v>
      </c>
      <c r="C137" s="28">
        <v>0.87509999999999999</v>
      </c>
      <c r="E137" t="s">
        <v>22</v>
      </c>
      <c r="F137" s="28">
        <f>1/C137</f>
        <v>1.142726545537653</v>
      </c>
      <c r="G137" s="26"/>
      <c r="N137" s="20"/>
      <c r="O137" s="56">
        <v>1.6519999999999999</v>
      </c>
      <c r="P137" s="51"/>
      <c r="Q137" s="57"/>
      <c r="R137" s="56">
        <v>1.694</v>
      </c>
      <c r="S137" s="51"/>
      <c r="T137" s="57"/>
      <c r="U137" s="56">
        <v>1.7</v>
      </c>
      <c r="V137" s="51"/>
      <c r="W137" s="21" t="s">
        <v>5</v>
      </c>
      <c r="X137" s="56">
        <v>1.43</v>
      </c>
      <c r="Y137" s="51"/>
      <c r="Z137" s="57"/>
      <c r="AA137" s="56">
        <v>2.66</v>
      </c>
    </row>
    <row r="138" spans="1:27" x14ac:dyDescent="0.3">
      <c r="B138" s="27" t="s">
        <v>129</v>
      </c>
      <c r="C138" s="28">
        <v>1.0447</v>
      </c>
      <c r="F138" s="28"/>
      <c r="G138" s="26"/>
    </row>
    <row r="139" spans="1:27" x14ac:dyDescent="0.3">
      <c r="B139" s="27" t="s">
        <v>130</v>
      </c>
      <c r="C139" s="28">
        <v>0.90949999999999998</v>
      </c>
      <c r="E139" t="s">
        <v>131</v>
      </c>
      <c r="F139" s="28">
        <f>1/C139</f>
        <v>1.0995052226498077</v>
      </c>
    </row>
    <row r="140" spans="1:27" x14ac:dyDescent="0.3">
      <c r="B140" s="27"/>
      <c r="E140" s="46"/>
      <c r="I140" s="28"/>
    </row>
    <row r="141" spans="1:27" x14ac:dyDescent="0.3">
      <c r="B141" s="47" t="s">
        <v>24</v>
      </c>
      <c r="C141" s="48">
        <f>C138/(C137*C139*C136)</f>
        <v>1.4335915202679377</v>
      </c>
      <c r="E141" s="46"/>
      <c r="F141" s="48">
        <f>F136*F137*C138*F139</f>
        <v>1.4335915202679377</v>
      </c>
    </row>
    <row r="143" spans="1:27" ht="15" thickBot="1" x14ac:dyDescent="0.35">
      <c r="A143" s="17" t="s">
        <v>42</v>
      </c>
      <c r="B143" s="35" t="s">
        <v>150</v>
      </c>
      <c r="C143" s="36"/>
      <c r="D143" s="37"/>
      <c r="E143" s="37"/>
      <c r="F143" s="37"/>
      <c r="G143" s="36"/>
      <c r="H143" s="36"/>
      <c r="I143" s="36"/>
      <c r="J143" s="36"/>
    </row>
    <row r="144" spans="1:27" ht="15" thickBot="1" x14ac:dyDescent="0.35">
      <c r="A144" s="17"/>
      <c r="B144" s="17"/>
      <c r="C144" s="17"/>
      <c r="D144" s="17"/>
      <c r="E144" s="17"/>
      <c r="F144" s="17"/>
      <c r="G144" s="17"/>
      <c r="H144" s="17"/>
      <c r="I144" s="128" t="s">
        <v>197</v>
      </c>
      <c r="J144" s="129"/>
    </row>
    <row r="145" spans="1:27" ht="15" thickBot="1" x14ac:dyDescent="0.35">
      <c r="C145" t="s">
        <v>134</v>
      </c>
      <c r="I145" s="114" t="s">
        <v>61</v>
      </c>
      <c r="J145" s="114" t="s">
        <v>60</v>
      </c>
    </row>
    <row r="146" spans="1:27" x14ac:dyDescent="0.3">
      <c r="B146" t="s">
        <v>132</v>
      </c>
      <c r="C146" s="65">
        <v>22.58</v>
      </c>
      <c r="D146" s="2">
        <v>12000</v>
      </c>
      <c r="E146" s="3" t="s">
        <v>30</v>
      </c>
      <c r="F146" s="52">
        <f>(C146/C149)*D146*1000</f>
        <v>8712540.1929260436</v>
      </c>
      <c r="I146" s="115">
        <v>21.42</v>
      </c>
      <c r="J146" s="116">
        <v>23.96</v>
      </c>
    </row>
    <row r="147" spans="1:27" ht="15" thickBot="1" x14ac:dyDescent="0.35">
      <c r="B147" t="s">
        <v>38</v>
      </c>
      <c r="C147" s="17">
        <v>80</v>
      </c>
      <c r="D147" s="2">
        <v>1500000</v>
      </c>
      <c r="E147" s="3" t="s">
        <v>31</v>
      </c>
      <c r="F147" s="52">
        <f>(C147/C150)*D147</f>
        <v>754716.98113207542</v>
      </c>
      <c r="I147" s="67">
        <v>69.41</v>
      </c>
      <c r="J147" s="117">
        <v>80.91</v>
      </c>
    </row>
    <row r="148" spans="1:27" ht="15" thickBot="1" x14ac:dyDescent="0.35">
      <c r="B148" t="s">
        <v>32</v>
      </c>
      <c r="C148" s="17">
        <v>1.157</v>
      </c>
      <c r="D148" s="3"/>
      <c r="E148" s="3"/>
      <c r="F148" s="52"/>
      <c r="I148" s="67">
        <v>1.1549</v>
      </c>
      <c r="J148" s="117">
        <v>1.1850000000000001</v>
      </c>
      <c r="N148" s="20"/>
      <c r="O148" s="29" t="s">
        <v>135</v>
      </c>
      <c r="P148" s="30"/>
      <c r="Q148" s="31"/>
      <c r="R148" s="29" t="s">
        <v>136</v>
      </c>
      <c r="S148" s="30"/>
      <c r="T148" s="31"/>
      <c r="U148" s="29" t="s">
        <v>137</v>
      </c>
      <c r="V148" s="30"/>
      <c r="W148" s="31"/>
      <c r="X148" s="29" t="s">
        <v>138</v>
      </c>
      <c r="Y148" s="30"/>
      <c r="Z148" s="31"/>
      <c r="AA148" s="29" t="s">
        <v>63</v>
      </c>
    </row>
    <row r="149" spans="1:27" ht="15" thickBot="1" x14ac:dyDescent="0.35">
      <c r="B149" t="s">
        <v>33</v>
      </c>
      <c r="C149" s="66">
        <v>31.1</v>
      </c>
      <c r="D149" s="3" t="s">
        <v>34</v>
      </c>
      <c r="E149" s="3"/>
      <c r="F149" s="52"/>
      <c r="I149" s="107"/>
      <c r="J149" s="118"/>
      <c r="N149" s="31"/>
      <c r="O149" s="29" t="s">
        <v>135</v>
      </c>
      <c r="P149" s="30"/>
      <c r="Q149" s="21" t="s">
        <v>5</v>
      </c>
      <c r="R149" s="29" t="s">
        <v>136</v>
      </c>
      <c r="S149" s="30"/>
      <c r="T149" s="31"/>
      <c r="U149" s="29" t="s">
        <v>137</v>
      </c>
      <c r="V149" s="30"/>
      <c r="W149" s="31"/>
      <c r="X149" s="29" t="s">
        <v>138</v>
      </c>
      <c r="Y149" s="30"/>
      <c r="Z149" s="31"/>
      <c r="AA149" s="29" t="s">
        <v>63</v>
      </c>
    </row>
    <row r="150" spans="1:27" x14ac:dyDescent="0.3">
      <c r="B150" t="s">
        <v>35</v>
      </c>
      <c r="C150" s="17">
        <v>159</v>
      </c>
      <c r="D150" s="3" t="s">
        <v>36</v>
      </c>
      <c r="E150" s="3"/>
      <c r="F150" s="52"/>
      <c r="I150" s="107"/>
      <c r="J150" s="118"/>
    </row>
    <row r="151" spans="1:27" ht="15" thickBot="1" x14ac:dyDescent="0.35">
      <c r="B151" t="s">
        <v>133</v>
      </c>
      <c r="C151" s="65">
        <v>9387</v>
      </c>
      <c r="D151" s="2">
        <v>4000</v>
      </c>
      <c r="E151" s="3" t="s">
        <v>37</v>
      </c>
      <c r="F151" s="52">
        <f>C151*D151</f>
        <v>37548000</v>
      </c>
      <c r="I151" s="119">
        <v>9038</v>
      </c>
      <c r="J151" s="120">
        <v>9660</v>
      </c>
    </row>
    <row r="152" spans="1:27" x14ac:dyDescent="0.3">
      <c r="F152" s="52"/>
    </row>
    <row r="153" spans="1:27" ht="15" thickBot="1" x14ac:dyDescent="0.35">
      <c r="C153" t="s">
        <v>62</v>
      </c>
      <c r="F153" s="52">
        <f>F146+F147+F151</f>
        <v>47015257.174058117</v>
      </c>
      <c r="G153" t="s">
        <v>8</v>
      </c>
    </row>
    <row r="154" spans="1:27" ht="15" thickBot="1" x14ac:dyDescent="0.35">
      <c r="C154" s="75" t="s">
        <v>64</v>
      </c>
      <c r="F154" s="53">
        <f>F153/C148</f>
        <v>40635485.889419287</v>
      </c>
      <c r="G154" t="s">
        <v>9</v>
      </c>
      <c r="I154" s="70">
        <f>(((I146/C149)*D146*1000)+((I147/C150)*D147)+(I151*D151))/I148</f>
        <v>39026550.427953467</v>
      </c>
      <c r="J154" s="70">
        <f>(((J146/C149)*D146*1000)+((J147/C150)*D147)+(J151*D151))/J148</f>
        <v>41053432.880981319</v>
      </c>
    </row>
    <row r="155" spans="1:27" x14ac:dyDescent="0.3">
      <c r="C155" s="75"/>
    </row>
    <row r="156" spans="1:27" x14ac:dyDescent="0.3">
      <c r="C156" s="75"/>
    </row>
    <row r="157" spans="1:27" x14ac:dyDescent="0.3">
      <c r="D157" s="72"/>
      <c r="E157" s="72"/>
      <c r="F157" s="73"/>
      <c r="J157" s="74"/>
    </row>
    <row r="159" spans="1:27" x14ac:dyDescent="0.3">
      <c r="A159" s="62" t="s">
        <v>146</v>
      </c>
      <c r="B159" s="94"/>
      <c r="C159" s="36"/>
      <c r="D159" s="37"/>
      <c r="E159" s="37"/>
      <c r="F159" s="37"/>
      <c r="G159" s="37"/>
    </row>
    <row r="160" spans="1:27" x14ac:dyDescent="0.3">
      <c r="B160" s="40" t="s">
        <v>147</v>
      </c>
      <c r="C160" s="41"/>
      <c r="D160" s="36"/>
      <c r="E160" s="36"/>
      <c r="F160" s="36"/>
      <c r="G160" s="36"/>
    </row>
    <row r="161" spans="2:27" ht="15" thickBot="1" x14ac:dyDescent="0.35">
      <c r="C161" s="74"/>
    </row>
    <row r="162" spans="2:27" ht="15" thickBot="1" x14ac:dyDescent="0.35">
      <c r="B162" t="s">
        <v>139</v>
      </c>
      <c r="C162" s="22">
        <v>0.03</v>
      </c>
      <c r="F162" t="s">
        <v>140</v>
      </c>
      <c r="G162" s="95">
        <v>9</v>
      </c>
      <c r="N162" s="20"/>
      <c r="O162" s="29">
        <v>6</v>
      </c>
      <c r="P162" s="30"/>
      <c r="Q162" s="31"/>
      <c r="R162" s="29">
        <v>8</v>
      </c>
      <c r="S162" s="30"/>
      <c r="T162" s="31"/>
      <c r="U162" s="29">
        <v>9</v>
      </c>
      <c r="V162" s="30"/>
      <c r="W162" s="31"/>
      <c r="X162" s="29">
        <v>10</v>
      </c>
      <c r="Y162" s="30"/>
      <c r="Z162" s="31"/>
      <c r="AA162" s="29">
        <v>13</v>
      </c>
    </row>
    <row r="163" spans="2:27" ht="15" thickBot="1" x14ac:dyDescent="0.35">
      <c r="B163" t="s">
        <v>141</v>
      </c>
      <c r="C163" s="22">
        <v>2.3E-2</v>
      </c>
      <c r="F163" t="s">
        <v>142</v>
      </c>
      <c r="G163" s="24">
        <f>C162/(1-(1+C162)^-G162)</f>
        <v>0.12843385701810342</v>
      </c>
      <c r="N163" s="20"/>
      <c r="O163" s="29">
        <v>6</v>
      </c>
      <c r="P163" s="30"/>
      <c r="Q163" s="31"/>
      <c r="R163" s="29">
        <v>8</v>
      </c>
      <c r="S163" s="30"/>
      <c r="T163" s="21" t="s">
        <v>5</v>
      </c>
      <c r="U163" s="29">
        <v>9</v>
      </c>
      <c r="V163" s="30"/>
      <c r="W163" s="31"/>
      <c r="X163" s="29">
        <v>10</v>
      </c>
      <c r="Y163" s="30"/>
      <c r="Z163" s="31"/>
      <c r="AA163" s="29">
        <v>13</v>
      </c>
    </row>
    <row r="164" spans="2:27" x14ac:dyDescent="0.3">
      <c r="B164" t="s">
        <v>143</v>
      </c>
      <c r="C164" s="24">
        <f>(C162/C163)*((1-(1+C163)^-G162)/(1-(1+C162)^-G162))</f>
        <v>1.0334563969477264</v>
      </c>
      <c r="F164" s="22"/>
    </row>
    <row r="165" spans="2:27" x14ac:dyDescent="0.3">
      <c r="C165" s="24"/>
      <c r="F165" s="22"/>
    </row>
    <row r="166" spans="2:27" x14ac:dyDescent="0.3">
      <c r="D166" t="s">
        <v>144</v>
      </c>
      <c r="F166" s="3">
        <v>8</v>
      </c>
      <c r="G166" t="str">
        <f>"Vo(n= "&amp;FIXED(F166,0)&amp;" )="</f>
        <v>Vo(n= 8 )=</v>
      </c>
      <c r="H166" s="24">
        <f>(C162/C163)*((1-(1+C163)^-F166)/(1-(1+C162)^-F166))</f>
        <v>1.0301984433304865</v>
      </c>
    </row>
    <row r="167" spans="2:27" x14ac:dyDescent="0.3">
      <c r="F167" s="3">
        <v>12</v>
      </c>
      <c r="G167" t="str">
        <f>"Vo(n= "&amp;FIXED(F167,0)&amp;" )="</f>
        <v>Vo(n= 12 )=</v>
      </c>
      <c r="H167" s="24">
        <f>(C162/C163)*((1-(1+C163)^-F167)/(1-(1+C162)^-F167))</f>
        <v>1.0431073975169334</v>
      </c>
    </row>
    <row r="168" spans="2:27" x14ac:dyDescent="0.3">
      <c r="F168" t="s">
        <v>145</v>
      </c>
      <c r="H168" s="97">
        <f>F166+(F167-F166)*(H166-C164)/(H166-H167)</f>
        <v>9.0095174466295447</v>
      </c>
      <c r="I168" s="96">
        <f>ROUND(H168,0)</f>
        <v>9</v>
      </c>
    </row>
  </sheetData>
  <mergeCells count="24">
    <mergeCell ref="I144:J144"/>
    <mergeCell ref="C24:F24"/>
    <mergeCell ref="C25:D25"/>
    <mergeCell ref="E25:F25"/>
    <mergeCell ref="C31:F31"/>
    <mergeCell ref="C32:D32"/>
    <mergeCell ref="E32:F32"/>
    <mergeCell ref="C42:F42"/>
    <mergeCell ref="C43:D43"/>
    <mergeCell ref="E43:F43"/>
    <mergeCell ref="C49:F49"/>
    <mergeCell ref="C50:D50"/>
    <mergeCell ref="E50:F50"/>
    <mergeCell ref="C56:F56"/>
    <mergeCell ref="C57:D57"/>
    <mergeCell ref="E57:F57"/>
    <mergeCell ref="C78:D78"/>
    <mergeCell ref="E78:F78"/>
    <mergeCell ref="C10:F10"/>
    <mergeCell ref="C11:D11"/>
    <mergeCell ref="E11:F11"/>
    <mergeCell ref="C17:F17"/>
    <mergeCell ref="C18:D18"/>
    <mergeCell ref="E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topLeftCell="A9" workbookViewId="0">
      <selection activeCell="E33" sqref="E33"/>
    </sheetView>
  </sheetViews>
  <sheetFormatPr baseColWidth="10" defaultRowHeight="14.4" x14ac:dyDescent="0.3"/>
  <cols>
    <col min="1" max="1" width="5.77734375" customWidth="1"/>
    <col min="2" max="2" width="30" customWidth="1"/>
    <col min="4" max="4" width="5.109375" customWidth="1"/>
    <col min="5" max="14" width="4.88671875" customWidth="1"/>
  </cols>
  <sheetData>
    <row r="1" spans="1:14" x14ac:dyDescent="0.3">
      <c r="A1" s="95" t="s">
        <v>158</v>
      </c>
      <c r="B1" s="71"/>
      <c r="C1" s="71"/>
    </row>
    <row r="2" spans="1:14" x14ac:dyDescent="0.3">
      <c r="A2" s="95" t="s">
        <v>159</v>
      </c>
      <c r="B2" s="71"/>
      <c r="C2" s="71"/>
      <c r="E2" s="113" t="s">
        <v>195</v>
      </c>
    </row>
    <row r="3" spans="1:14" x14ac:dyDescent="0.3">
      <c r="A3" s="95" t="s">
        <v>160</v>
      </c>
      <c r="B3" s="71"/>
      <c r="C3" s="71"/>
    </row>
    <row r="4" spans="1:14" ht="15" thickBot="1" x14ac:dyDescent="0.35">
      <c r="A4" s="102"/>
      <c r="B4" s="103"/>
      <c r="C4" s="103" t="s">
        <v>46</v>
      </c>
      <c r="E4" s="104" t="s">
        <v>47</v>
      </c>
      <c r="F4" s="104" t="s">
        <v>48</v>
      </c>
      <c r="G4" s="104" t="s">
        <v>49</v>
      </c>
      <c r="H4" s="104" t="s">
        <v>50</v>
      </c>
      <c r="I4" s="104" t="s">
        <v>51</v>
      </c>
      <c r="J4" s="104" t="s">
        <v>52</v>
      </c>
      <c r="K4" s="104" t="s">
        <v>53</v>
      </c>
      <c r="L4" s="104" t="s">
        <v>54</v>
      </c>
      <c r="M4" s="104" t="s">
        <v>55</v>
      </c>
      <c r="N4" s="104" t="s">
        <v>43</v>
      </c>
    </row>
    <row r="5" spans="1:14" x14ac:dyDescent="0.3">
      <c r="A5" s="105" t="s">
        <v>161</v>
      </c>
      <c r="B5" s="106" t="s">
        <v>162</v>
      </c>
      <c r="C5" s="18">
        <f>SUM(E5:N5)</f>
        <v>16</v>
      </c>
      <c r="E5" s="3">
        <v>2</v>
      </c>
      <c r="F5" s="3">
        <v>2</v>
      </c>
      <c r="G5" s="3">
        <v>0</v>
      </c>
      <c r="H5" s="3">
        <v>0</v>
      </c>
      <c r="I5" s="3">
        <v>2</v>
      </c>
      <c r="J5" s="3">
        <v>2</v>
      </c>
      <c r="K5" s="3">
        <v>2</v>
      </c>
      <c r="L5" s="3">
        <v>2</v>
      </c>
      <c r="M5" s="3">
        <v>2</v>
      </c>
      <c r="N5" s="3">
        <v>2</v>
      </c>
    </row>
    <row r="6" spans="1:14" x14ac:dyDescent="0.3">
      <c r="A6" s="107" t="s">
        <v>161</v>
      </c>
      <c r="B6" s="108" t="s">
        <v>163</v>
      </c>
      <c r="C6" s="18">
        <f t="shared" ref="C6:C28" si="0">SUM(E6:N6)</f>
        <v>16</v>
      </c>
      <c r="E6" s="3">
        <v>2</v>
      </c>
      <c r="F6" s="3">
        <v>2</v>
      </c>
      <c r="G6" s="3">
        <v>0</v>
      </c>
      <c r="H6" s="3">
        <v>2</v>
      </c>
      <c r="I6" s="3">
        <v>2</v>
      </c>
      <c r="J6" s="3">
        <v>2</v>
      </c>
      <c r="K6" s="3">
        <v>2</v>
      </c>
      <c r="L6" s="3">
        <v>2</v>
      </c>
      <c r="M6" s="3">
        <v>2</v>
      </c>
      <c r="N6" s="3">
        <v>0</v>
      </c>
    </row>
    <row r="7" spans="1:14" x14ac:dyDescent="0.3">
      <c r="A7" s="107" t="s">
        <v>164</v>
      </c>
      <c r="B7" s="108" t="s">
        <v>165</v>
      </c>
      <c r="C7" s="18">
        <f t="shared" si="0"/>
        <v>14</v>
      </c>
      <c r="E7" s="3">
        <v>0</v>
      </c>
      <c r="F7" s="3">
        <v>2</v>
      </c>
      <c r="G7" s="3">
        <v>2</v>
      </c>
      <c r="H7" s="3">
        <v>0</v>
      </c>
      <c r="I7" s="3">
        <v>2</v>
      </c>
      <c r="J7" s="3">
        <v>2</v>
      </c>
      <c r="K7" s="3">
        <v>0</v>
      </c>
      <c r="L7" s="3">
        <v>2</v>
      </c>
      <c r="M7" s="3">
        <v>2</v>
      </c>
      <c r="N7" s="3">
        <v>2</v>
      </c>
    </row>
    <row r="8" spans="1:14" x14ac:dyDescent="0.3">
      <c r="A8" s="107" t="s">
        <v>164</v>
      </c>
      <c r="B8" s="108" t="s">
        <v>166</v>
      </c>
      <c r="C8" s="18">
        <f t="shared" si="0"/>
        <v>16</v>
      </c>
      <c r="E8" s="3">
        <v>2</v>
      </c>
      <c r="F8" s="3">
        <v>2</v>
      </c>
      <c r="G8" s="3">
        <v>0</v>
      </c>
      <c r="H8" s="3">
        <v>0</v>
      </c>
      <c r="I8" s="3">
        <v>2</v>
      </c>
      <c r="J8" s="3">
        <v>2</v>
      </c>
      <c r="K8" s="3">
        <v>2</v>
      </c>
      <c r="L8" s="3">
        <v>2</v>
      </c>
      <c r="M8" s="3">
        <v>2</v>
      </c>
      <c r="N8" s="3">
        <v>2</v>
      </c>
    </row>
    <row r="9" spans="1:14" x14ac:dyDescent="0.3">
      <c r="A9" s="107" t="s">
        <v>164</v>
      </c>
      <c r="B9" s="108" t="s">
        <v>167</v>
      </c>
      <c r="C9" s="18">
        <f t="shared" si="0"/>
        <v>16</v>
      </c>
      <c r="E9" s="3">
        <v>2</v>
      </c>
      <c r="F9" s="3">
        <v>2</v>
      </c>
      <c r="G9" s="3">
        <v>0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0</v>
      </c>
    </row>
    <row r="10" spans="1:14" x14ac:dyDescent="0.3">
      <c r="A10" s="107" t="s">
        <v>164</v>
      </c>
      <c r="B10" s="108" t="s">
        <v>168</v>
      </c>
      <c r="C10" s="18">
        <f t="shared" si="0"/>
        <v>18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0</v>
      </c>
    </row>
    <row r="11" spans="1:14" x14ac:dyDescent="0.3">
      <c r="A11" s="107" t="s">
        <v>164</v>
      </c>
      <c r="B11" s="108" t="s">
        <v>169</v>
      </c>
      <c r="C11" s="18">
        <f t="shared" si="0"/>
        <v>10</v>
      </c>
      <c r="E11" s="3">
        <v>2</v>
      </c>
      <c r="F11" s="3">
        <v>2</v>
      </c>
      <c r="G11" s="3">
        <v>0</v>
      </c>
      <c r="H11" s="3">
        <v>0</v>
      </c>
      <c r="I11" s="3">
        <v>0</v>
      </c>
      <c r="J11" s="3">
        <v>2</v>
      </c>
      <c r="K11" s="3">
        <v>2</v>
      </c>
      <c r="L11" s="3">
        <v>2</v>
      </c>
      <c r="M11" s="3">
        <v>0</v>
      </c>
      <c r="N11" s="3">
        <v>0</v>
      </c>
    </row>
    <row r="12" spans="1:14" x14ac:dyDescent="0.3">
      <c r="A12" s="107" t="s">
        <v>161</v>
      </c>
      <c r="B12" s="108" t="s">
        <v>170</v>
      </c>
      <c r="C12" s="18">
        <f t="shared" si="0"/>
        <v>16</v>
      </c>
      <c r="E12" s="3">
        <v>2</v>
      </c>
      <c r="F12" s="3">
        <v>2</v>
      </c>
      <c r="G12" s="3">
        <v>2</v>
      </c>
      <c r="H12" s="3">
        <v>0</v>
      </c>
      <c r="I12" s="3">
        <v>2</v>
      </c>
      <c r="J12" s="3">
        <v>0</v>
      </c>
      <c r="K12" s="3">
        <v>2</v>
      </c>
      <c r="L12" s="3">
        <v>2</v>
      </c>
      <c r="M12" s="3">
        <v>2</v>
      </c>
      <c r="N12" s="3">
        <v>2</v>
      </c>
    </row>
    <row r="13" spans="1:14" x14ac:dyDescent="0.3">
      <c r="A13" s="107" t="s">
        <v>161</v>
      </c>
      <c r="B13" s="108" t="s">
        <v>171</v>
      </c>
      <c r="C13" s="18">
        <f t="shared" si="0"/>
        <v>14</v>
      </c>
      <c r="E13" s="3">
        <v>2</v>
      </c>
      <c r="F13" s="3">
        <v>2</v>
      </c>
      <c r="G13" s="3">
        <v>0</v>
      </c>
      <c r="H13" s="3">
        <v>0</v>
      </c>
      <c r="I13" s="3">
        <v>0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</row>
    <row r="14" spans="1:14" x14ac:dyDescent="0.3">
      <c r="A14" s="107" t="s">
        <v>161</v>
      </c>
      <c r="B14" s="108" t="s">
        <v>172</v>
      </c>
      <c r="C14" s="18">
        <f t="shared" si="0"/>
        <v>18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0</v>
      </c>
      <c r="K14" s="3">
        <v>2</v>
      </c>
      <c r="L14" s="3">
        <v>2</v>
      </c>
      <c r="M14" s="3">
        <v>2</v>
      </c>
      <c r="N14" s="3">
        <v>2</v>
      </c>
    </row>
    <row r="15" spans="1:14" x14ac:dyDescent="0.3">
      <c r="A15" s="107" t="s">
        <v>164</v>
      </c>
      <c r="B15" s="108" t="s">
        <v>173</v>
      </c>
      <c r="C15" s="18">
        <f t="shared" si="0"/>
        <v>14</v>
      </c>
      <c r="E15" s="3">
        <v>2</v>
      </c>
      <c r="F15" s="3">
        <v>2</v>
      </c>
      <c r="G15" s="3">
        <v>0</v>
      </c>
      <c r="H15" s="3">
        <v>2</v>
      </c>
      <c r="I15" s="3">
        <v>2</v>
      </c>
      <c r="J15" s="3"/>
      <c r="K15" s="3">
        <v>2</v>
      </c>
      <c r="L15" s="3">
        <v>2</v>
      </c>
      <c r="M15" s="3">
        <v>2</v>
      </c>
      <c r="N15" s="3">
        <v>0</v>
      </c>
    </row>
    <row r="16" spans="1:14" x14ac:dyDescent="0.3">
      <c r="A16" s="107" t="s">
        <v>161</v>
      </c>
      <c r="B16" s="108" t="s">
        <v>174</v>
      </c>
      <c r="C16" s="18">
        <f t="shared" si="0"/>
        <v>12</v>
      </c>
      <c r="E16" s="3">
        <v>2</v>
      </c>
      <c r="F16" s="3">
        <v>2</v>
      </c>
      <c r="G16" s="3">
        <v>0</v>
      </c>
      <c r="H16" s="3">
        <v>2</v>
      </c>
      <c r="I16" s="3">
        <v>0</v>
      </c>
      <c r="J16" s="3">
        <v>2</v>
      </c>
      <c r="K16" s="3">
        <v>0</v>
      </c>
      <c r="L16" s="3">
        <v>2</v>
      </c>
      <c r="M16" s="3">
        <v>0</v>
      </c>
      <c r="N16" s="3">
        <v>2</v>
      </c>
    </row>
    <row r="17" spans="1:14" x14ac:dyDescent="0.3">
      <c r="A17" s="107" t="s">
        <v>164</v>
      </c>
      <c r="B17" s="108" t="s">
        <v>175</v>
      </c>
      <c r="C17" s="18">
        <f t="shared" si="0"/>
        <v>16</v>
      </c>
      <c r="E17" s="3">
        <v>2</v>
      </c>
      <c r="F17" s="3">
        <v>2</v>
      </c>
      <c r="G17" s="3">
        <v>0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0</v>
      </c>
    </row>
    <row r="18" spans="1:14" x14ac:dyDescent="0.3">
      <c r="A18" s="107" t="s">
        <v>161</v>
      </c>
      <c r="B18" s="108" t="s">
        <v>176</v>
      </c>
      <c r="C18" s="18">
        <f t="shared" si="0"/>
        <v>16</v>
      </c>
      <c r="E18" s="3">
        <v>2</v>
      </c>
      <c r="F18" s="3">
        <v>2</v>
      </c>
      <c r="G18" s="3">
        <v>0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0</v>
      </c>
    </row>
    <row r="19" spans="1:14" x14ac:dyDescent="0.3">
      <c r="A19" s="107" t="s">
        <v>161</v>
      </c>
      <c r="B19" s="108" t="s">
        <v>177</v>
      </c>
      <c r="C19" s="18">
        <f t="shared" si="0"/>
        <v>18</v>
      </c>
      <c r="E19" s="3">
        <v>2</v>
      </c>
      <c r="F19" s="3">
        <v>2</v>
      </c>
      <c r="G19" s="3">
        <v>0</v>
      </c>
      <c r="H19" s="3">
        <v>2</v>
      </c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">
        <v>2</v>
      </c>
    </row>
    <row r="20" spans="1:14" x14ac:dyDescent="0.3">
      <c r="A20" s="107" t="s">
        <v>161</v>
      </c>
      <c r="B20" s="108" t="s">
        <v>178</v>
      </c>
      <c r="C20" s="18">
        <f t="shared" si="0"/>
        <v>16</v>
      </c>
      <c r="E20" s="3">
        <v>2</v>
      </c>
      <c r="F20" s="3">
        <v>2</v>
      </c>
      <c r="G20" s="3">
        <v>2</v>
      </c>
      <c r="H20" s="3">
        <v>0</v>
      </c>
      <c r="I20" s="3">
        <v>2</v>
      </c>
      <c r="J20" s="3">
        <v>0</v>
      </c>
      <c r="K20" s="3">
        <v>2</v>
      </c>
      <c r="L20" s="3">
        <v>2</v>
      </c>
      <c r="M20" s="3">
        <v>2</v>
      </c>
      <c r="N20" s="3">
        <v>2</v>
      </c>
    </row>
    <row r="21" spans="1:14" x14ac:dyDescent="0.3">
      <c r="A21" s="107" t="s">
        <v>161</v>
      </c>
      <c r="B21" s="108" t="s">
        <v>179</v>
      </c>
      <c r="C21" s="18">
        <f t="shared" si="0"/>
        <v>10</v>
      </c>
      <c r="E21" s="3">
        <v>2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2</v>
      </c>
      <c r="M21" s="3">
        <v>2</v>
      </c>
      <c r="N21" s="3">
        <v>0</v>
      </c>
    </row>
    <row r="22" spans="1:14" x14ac:dyDescent="0.3">
      <c r="A22" s="107" t="s">
        <v>161</v>
      </c>
      <c r="B22" s="108" t="s">
        <v>180</v>
      </c>
      <c r="C22" s="18">
        <f t="shared" si="0"/>
        <v>16</v>
      </c>
      <c r="E22" s="3">
        <v>2</v>
      </c>
      <c r="F22" s="3">
        <v>2</v>
      </c>
      <c r="G22" s="3">
        <v>0</v>
      </c>
      <c r="H22" s="3">
        <v>2</v>
      </c>
      <c r="I22" s="3">
        <v>2</v>
      </c>
      <c r="J22" s="3">
        <v>2</v>
      </c>
      <c r="K22" s="3">
        <v>0</v>
      </c>
      <c r="L22" s="3">
        <v>2</v>
      </c>
      <c r="M22" s="3">
        <v>2</v>
      </c>
      <c r="N22" s="3">
        <v>2</v>
      </c>
    </row>
    <row r="23" spans="1:14" x14ac:dyDescent="0.3">
      <c r="A23" s="107" t="s">
        <v>161</v>
      </c>
      <c r="B23" s="108" t="s">
        <v>181</v>
      </c>
      <c r="C23" s="18">
        <f t="shared" si="0"/>
        <v>16</v>
      </c>
      <c r="E23" s="3">
        <v>2</v>
      </c>
      <c r="F23" s="3">
        <v>2</v>
      </c>
      <c r="G23" s="3">
        <v>2</v>
      </c>
      <c r="H23" s="3">
        <v>2</v>
      </c>
      <c r="I23" s="3">
        <v>0</v>
      </c>
      <c r="J23" s="3">
        <v>2</v>
      </c>
      <c r="K23" s="3">
        <v>0</v>
      </c>
      <c r="L23" s="3">
        <v>2</v>
      </c>
      <c r="M23" s="3">
        <v>2</v>
      </c>
      <c r="N23" s="3">
        <v>2</v>
      </c>
    </row>
    <row r="24" spans="1:14" x14ac:dyDescent="0.3">
      <c r="A24" s="107" t="s">
        <v>164</v>
      </c>
      <c r="B24" s="108" t="s">
        <v>182</v>
      </c>
      <c r="C24" s="18">
        <f t="shared" si="0"/>
        <v>16</v>
      </c>
      <c r="E24" s="3">
        <v>2</v>
      </c>
      <c r="F24" s="3">
        <v>2</v>
      </c>
      <c r="G24" s="3">
        <v>2</v>
      </c>
      <c r="H24" s="3">
        <v>2</v>
      </c>
      <c r="I24" s="3">
        <v>2</v>
      </c>
      <c r="J24" s="3">
        <v>2</v>
      </c>
      <c r="K24" s="3">
        <v>0</v>
      </c>
      <c r="L24" s="3">
        <v>2</v>
      </c>
      <c r="M24" s="3">
        <v>2</v>
      </c>
      <c r="N24" s="3">
        <v>0</v>
      </c>
    </row>
    <row r="25" spans="1:14" x14ac:dyDescent="0.3">
      <c r="A25" s="107" t="s">
        <v>161</v>
      </c>
      <c r="B25" s="108" t="s">
        <v>183</v>
      </c>
      <c r="C25" s="18">
        <f t="shared" si="0"/>
        <v>16</v>
      </c>
      <c r="E25" s="3">
        <v>2</v>
      </c>
      <c r="F25" s="3">
        <v>2</v>
      </c>
      <c r="G25" s="3">
        <v>0</v>
      </c>
      <c r="H25" s="3">
        <v>0</v>
      </c>
      <c r="I25" s="3">
        <v>2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</row>
    <row r="26" spans="1:14" x14ac:dyDescent="0.3">
      <c r="A26" s="107" t="s">
        <v>161</v>
      </c>
      <c r="B26" s="108" t="s">
        <v>184</v>
      </c>
      <c r="C26" s="18">
        <f t="shared" si="0"/>
        <v>10</v>
      </c>
      <c r="E26" s="3">
        <v>2</v>
      </c>
      <c r="F26" s="3">
        <v>2</v>
      </c>
      <c r="G26" s="3"/>
      <c r="H26" s="3">
        <v>0</v>
      </c>
      <c r="I26" s="3">
        <v>2</v>
      </c>
      <c r="J26" s="3">
        <v>0</v>
      </c>
      <c r="K26" s="3">
        <v>0</v>
      </c>
      <c r="L26" s="3">
        <v>0</v>
      </c>
      <c r="M26" s="3">
        <v>2</v>
      </c>
      <c r="N26" s="3">
        <v>2</v>
      </c>
    </row>
    <row r="27" spans="1:14" x14ac:dyDescent="0.3">
      <c r="A27" s="107" t="s">
        <v>164</v>
      </c>
      <c r="B27" s="108" t="s">
        <v>185</v>
      </c>
      <c r="C27" s="18">
        <f t="shared" si="0"/>
        <v>16</v>
      </c>
      <c r="E27" s="3">
        <v>2</v>
      </c>
      <c r="F27" s="3">
        <v>2</v>
      </c>
      <c r="G27" s="3">
        <v>0</v>
      </c>
      <c r="H27" s="3">
        <v>2</v>
      </c>
      <c r="I27" s="3">
        <v>2</v>
      </c>
      <c r="J27" s="3"/>
      <c r="K27" s="3">
        <v>2</v>
      </c>
      <c r="L27" s="3">
        <v>2</v>
      </c>
      <c r="M27" s="3">
        <v>2</v>
      </c>
      <c r="N27" s="3">
        <v>2</v>
      </c>
    </row>
    <row r="28" spans="1:14" x14ac:dyDescent="0.3">
      <c r="A28" s="107" t="s">
        <v>161</v>
      </c>
      <c r="B28" s="108" t="s">
        <v>186</v>
      </c>
      <c r="C28" s="18">
        <f t="shared" si="0"/>
        <v>18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0</v>
      </c>
      <c r="K28" s="3">
        <v>2</v>
      </c>
      <c r="L28" s="3">
        <v>2</v>
      </c>
      <c r="M28" s="3">
        <v>2</v>
      </c>
      <c r="N28" s="3">
        <v>2</v>
      </c>
    </row>
    <row r="29" spans="1:14" x14ac:dyDescent="0.3">
      <c r="A29" s="109"/>
      <c r="B29" s="108"/>
      <c r="C29" s="18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3">
      <c r="B30" s="110" t="s">
        <v>187</v>
      </c>
      <c r="C30" s="18">
        <f>COUNT(C5:C28)</f>
        <v>24</v>
      </c>
      <c r="E30" s="121">
        <f>AVERAGE(E5:E28)</f>
        <v>1.9166666666666667</v>
      </c>
      <c r="F30" s="122">
        <f t="shared" ref="F30:N30" si="1">AVERAGE(F5:F28)</f>
        <v>2</v>
      </c>
      <c r="G30" s="121">
        <f t="shared" si="1"/>
        <v>0.69565217391304346</v>
      </c>
      <c r="H30" s="121">
        <f t="shared" si="1"/>
        <v>1.1666666666666667</v>
      </c>
      <c r="I30" s="121">
        <f t="shared" si="1"/>
        <v>1.5833333333333333</v>
      </c>
      <c r="J30" s="121">
        <f t="shared" si="1"/>
        <v>1.4545454545454546</v>
      </c>
      <c r="K30" s="121">
        <f t="shared" si="1"/>
        <v>1.5</v>
      </c>
      <c r="L30" s="121">
        <f t="shared" si="1"/>
        <v>1.9166666666666667</v>
      </c>
      <c r="M30" s="121">
        <f t="shared" si="1"/>
        <v>1.8333333333333333</v>
      </c>
      <c r="N30" s="121">
        <f t="shared" si="1"/>
        <v>1.25</v>
      </c>
    </row>
    <row r="31" spans="1:14" x14ac:dyDescent="0.3">
      <c r="B31" s="110" t="s">
        <v>56</v>
      </c>
      <c r="C31" s="68">
        <f>AVERAGE(C5:C28)</f>
        <v>15.166666666666666</v>
      </c>
    </row>
    <row r="32" spans="1:14" x14ac:dyDescent="0.3">
      <c r="B32" s="110" t="s">
        <v>57</v>
      </c>
      <c r="C32" s="111">
        <f>STDEV(C5:C28)</f>
        <v>2.4257077258017876</v>
      </c>
      <c r="E32" s="113" t="s">
        <v>203</v>
      </c>
    </row>
    <row r="33" spans="1:5" x14ac:dyDescent="0.3">
      <c r="B33" s="110" t="s">
        <v>58</v>
      </c>
      <c r="C33" s="3">
        <f>MEDIAN(C5:C28)</f>
        <v>16</v>
      </c>
      <c r="E33" s="113" t="s">
        <v>198</v>
      </c>
    </row>
    <row r="34" spans="1:5" x14ac:dyDescent="0.3">
      <c r="B34" s="110" t="s">
        <v>188</v>
      </c>
      <c r="C34" s="3">
        <f>MIN(C5:C28)</f>
        <v>10</v>
      </c>
      <c r="E34" s="113" t="s">
        <v>199</v>
      </c>
    </row>
    <row r="35" spans="1:5" x14ac:dyDescent="0.3">
      <c r="B35" s="110" t="s">
        <v>189</v>
      </c>
      <c r="C35" s="3">
        <f>MAX(C5:C28)</f>
        <v>18</v>
      </c>
      <c r="E35" s="113" t="s">
        <v>200</v>
      </c>
    </row>
    <row r="36" spans="1:5" x14ac:dyDescent="0.3">
      <c r="B36" s="110" t="s">
        <v>190</v>
      </c>
      <c r="C36" s="3">
        <f>COUNTIF(C5:C28,"&gt;=10")</f>
        <v>24</v>
      </c>
    </row>
    <row r="39" spans="1:5" x14ac:dyDescent="0.3">
      <c r="A39" s="107" t="s">
        <v>161</v>
      </c>
      <c r="B39" s="108" t="s">
        <v>191</v>
      </c>
      <c r="C39" s="18" t="s">
        <v>192</v>
      </c>
    </row>
    <row r="40" spans="1:5" x14ac:dyDescent="0.3">
      <c r="A40" s="107" t="s">
        <v>164</v>
      </c>
      <c r="B40" s="108" t="s">
        <v>193</v>
      </c>
      <c r="C40" s="18" t="s">
        <v>192</v>
      </c>
    </row>
    <row r="41" spans="1:5" ht="15" thickBot="1" x14ac:dyDescent="0.35">
      <c r="A41" s="69" t="s">
        <v>164</v>
      </c>
      <c r="B41" s="112" t="s">
        <v>194</v>
      </c>
      <c r="C41" s="18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FRANCOIS-HEUDE</dc:creator>
  <cp:lastModifiedBy>AFH</cp:lastModifiedBy>
  <dcterms:created xsi:type="dcterms:W3CDTF">2019-10-06T14:57:00Z</dcterms:created>
  <dcterms:modified xsi:type="dcterms:W3CDTF">2022-09-16T12:28:33Z</dcterms:modified>
</cp:coreProperties>
</file>