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Corrigé" sheetId="1" r:id="rId1"/>
  </sheets>
  <calcPr calcId="145621"/>
</workbook>
</file>

<file path=xl/calcChain.xml><?xml version="1.0" encoding="utf-8"?>
<calcChain xmlns="http://schemas.openxmlformats.org/spreadsheetml/2006/main">
  <c r="E49" i="1" l="1"/>
  <c r="D49" i="1"/>
  <c r="E47" i="1"/>
  <c r="D47" i="1"/>
  <c r="H49" i="1" l="1"/>
  <c r="G49" i="1"/>
  <c r="C118" i="1"/>
  <c r="F105" i="1"/>
  <c r="D40" i="1"/>
  <c r="H129" i="1"/>
  <c r="D131" i="1"/>
  <c r="D130" i="1"/>
  <c r="D129" i="1"/>
  <c r="E126" i="1"/>
  <c r="H126" i="1" s="1"/>
  <c r="H123" i="1"/>
  <c r="E123" i="1"/>
  <c r="C117" i="1"/>
  <c r="C116" i="1"/>
  <c r="F112" i="1"/>
  <c r="E112" i="1"/>
  <c r="K109" i="1"/>
  <c r="J109" i="1"/>
  <c r="F111" i="1"/>
  <c r="F110" i="1"/>
  <c r="K108" i="1"/>
  <c r="K107" i="1"/>
  <c r="J108" i="1"/>
  <c r="J107" i="1"/>
  <c r="F106" i="1"/>
  <c r="E111" i="1"/>
  <c r="E110" i="1"/>
  <c r="E106" i="1"/>
  <c r="E105" i="1"/>
  <c r="C92" i="1"/>
  <c r="D86" i="1"/>
  <c r="C88" i="1" s="1"/>
  <c r="C64" i="1"/>
  <c r="C81" i="1"/>
  <c r="D70" i="1"/>
  <c r="G69" i="1"/>
  <c r="G68" i="1"/>
  <c r="C69" i="1"/>
  <c r="C68" i="1"/>
  <c r="C63" i="1"/>
  <c r="C57" i="1"/>
  <c r="G55" i="1"/>
  <c r="D38" i="1"/>
  <c r="H37" i="1"/>
  <c r="D36" i="1"/>
  <c r="H36" i="1"/>
  <c r="H35" i="1"/>
  <c r="D35" i="1"/>
  <c r="C23" i="1"/>
  <c r="D19" i="1"/>
  <c r="D17" i="1"/>
  <c r="D18" i="1" s="1"/>
  <c r="C10" i="1"/>
  <c r="D14" i="1" s="1"/>
  <c r="I7" i="1"/>
  <c r="D12" i="1" l="1"/>
  <c r="D13" i="1" s="1"/>
  <c r="K72" i="1"/>
  <c r="K63" i="1"/>
  <c r="E64" i="1"/>
  <c r="E63" i="1"/>
  <c r="G66" i="1" l="1"/>
  <c r="K62" i="1" s="1"/>
  <c r="K74" i="1" s="1"/>
</calcChain>
</file>

<file path=xl/sharedStrings.xml><?xml version="1.0" encoding="utf-8"?>
<sst xmlns="http://schemas.openxmlformats.org/spreadsheetml/2006/main" count="154" uniqueCount="128">
  <si>
    <t>E</t>
  </si>
  <si>
    <t>r</t>
  </si>
  <si>
    <t>t</t>
  </si>
  <si>
    <t>Sig</t>
  </si>
  <si>
    <t>d1</t>
  </si>
  <si>
    <t xml:space="preserve">S </t>
  </si>
  <si>
    <t>d2</t>
  </si>
  <si>
    <t>f(d1)</t>
  </si>
  <si>
    <t>N(d1)</t>
  </si>
  <si>
    <t>N(d2)</t>
  </si>
  <si>
    <t>Titres</t>
  </si>
  <si>
    <t>option 2</t>
  </si>
  <si>
    <t>Option 1</t>
  </si>
  <si>
    <t>Call</t>
  </si>
  <si>
    <t>Put</t>
  </si>
  <si>
    <t>E1</t>
  </si>
  <si>
    <t>E2</t>
  </si>
  <si>
    <t>Un Call a une valeur  de 23,09€  une échéance (τ) est de 0,25 an et une volatilité (σ) de 20% an. Le prix d’exercice (E) est de 450€, N(d1) = 0,60276 et le niveau des taux d’intérêt est de 4%.</t>
  </si>
  <si>
    <t xml:space="preserve">   recherche de d1 dans la table</t>
  </si>
  <si>
    <t>d1 =</t>
  </si>
  <si>
    <t>C =</t>
  </si>
  <si>
    <t>S =</t>
  </si>
  <si>
    <t>d2 =</t>
  </si>
  <si>
    <t>lecture dans table</t>
  </si>
  <si>
    <r>
      <t xml:space="preserve">d2 = d1 - </t>
    </r>
    <r>
      <rPr>
        <sz val="11"/>
        <color theme="1"/>
        <rFont val="Calibri"/>
        <family val="2"/>
      </rPr>
      <t>σ*racine(τ</t>
    </r>
    <r>
      <rPr>
        <sz val="11"/>
        <color theme="1"/>
        <rFont val="Calibri"/>
        <family val="2"/>
        <scheme val="minor"/>
      </rPr>
      <t>)</t>
    </r>
  </si>
  <si>
    <t>N(d1) =</t>
  </si>
  <si>
    <t>N(d2) =</t>
  </si>
  <si>
    <t>donc, il faudrait prendre S un peu plus grand ex : S=</t>
  </si>
  <si>
    <t>au lieu de 23,09</t>
  </si>
  <si>
    <t>vérif 1</t>
  </si>
  <si>
    <t>vérif 2</t>
  </si>
  <si>
    <t>OK</t>
  </si>
  <si>
    <t>Relation de parité  P = C - S + E exp(-rt)</t>
  </si>
  <si>
    <t>P =</t>
  </si>
  <si>
    <t>Sur les marchés de Londres, vous observez les éléments suivants :</t>
  </si>
  <si>
    <t xml:space="preserve"> changes :  </t>
  </si>
  <si>
    <t xml:space="preserve"> taux d’intérêt (taux à 3 mois en % /an)</t>
  </si>
  <si>
    <t xml:space="preserve">                                 BID   -   ASK                                       </t>
  </si>
  <si>
    <t>USD-NOK      Fwd 3 mth</t>
  </si>
  <si>
    <t>USD</t>
  </si>
  <si>
    <t xml:space="preserve">USD-EUR       Spot      </t>
  </si>
  <si>
    <t>Norvege</t>
  </si>
  <si>
    <t xml:space="preserve">[ NOK Couronne norvégienne ] </t>
  </si>
  <si>
    <t>Union Euro</t>
  </si>
  <si>
    <t>Offert</t>
  </si>
  <si>
    <t xml:space="preserve">                -           </t>
  </si>
  <si>
    <t xml:space="preserve">Demandé  </t>
  </si>
  <si>
    <t>USD-NOK   Spot MID</t>
  </si>
  <si>
    <t>USD-NOK  Fwd 3 m MID</t>
  </si>
  <si>
    <t>Taux NOK MID</t>
  </si>
  <si>
    <t>Taux USD MID</t>
  </si>
  <si>
    <t xml:space="preserve">USD-EUR     Spot MID     </t>
  </si>
  <si>
    <t>Taux EUR MID</t>
  </si>
  <si>
    <r>
      <t>Q1</t>
    </r>
    <r>
      <rPr>
        <b/>
        <sz val="10"/>
        <color theme="1"/>
        <rFont val="Times New Roman"/>
        <family val="1"/>
      </rPr>
      <t> :  Donner le prix du sous-jacent.</t>
    </r>
  </si>
  <si>
    <r>
      <t>Q2</t>
    </r>
    <r>
      <rPr>
        <b/>
        <sz val="10"/>
        <color theme="1"/>
        <rFont val="Times New Roman"/>
        <family val="1"/>
      </rPr>
      <t> : Donner la valeur d’un Put de même caractéristique que le Call.</t>
    </r>
  </si>
  <si>
    <r>
      <t>Q3</t>
    </r>
    <r>
      <rPr>
        <b/>
        <sz val="10"/>
        <color theme="1"/>
        <rFont val="Times New Roman"/>
        <family val="1"/>
      </rPr>
      <t> : Donner le change NOK-EUR en spot et en MID</t>
    </r>
  </si>
  <si>
    <t>Exo 2</t>
  </si>
  <si>
    <t>Exo 1</t>
  </si>
  <si>
    <t>MID</t>
  </si>
  <si>
    <t>NOK-EUR Spot MID</t>
  </si>
  <si>
    <r>
      <t>Q4</t>
    </r>
    <r>
      <rPr>
        <b/>
        <sz val="10"/>
        <color theme="1"/>
        <rFont val="Times New Roman"/>
        <family val="1"/>
      </rPr>
      <t> : Calculer le change EUR-NOK en Forward à 3 mois et en BID-ASK</t>
    </r>
  </si>
  <si>
    <t xml:space="preserve">USD-EUR    Fwd 3m      </t>
  </si>
  <si>
    <r>
      <t>Q5</t>
    </r>
    <r>
      <rPr>
        <b/>
        <sz val="10"/>
        <color theme="1"/>
        <rFont val="Times New Roman"/>
        <family val="1"/>
      </rPr>
      <t> : Combien de barils de Brent peut-on acquérir aujourd’hui avec 12 onces d’or et 1 Kg d’argent ?</t>
    </r>
  </si>
  <si>
    <t>Pétrole Brent (en $)</t>
  </si>
  <si>
    <t>Once OR (en $)</t>
  </si>
  <si>
    <t>Once Argent (en $)</t>
  </si>
  <si>
    <t>KgArgent $</t>
  </si>
  <si>
    <t>Nb once/Kg</t>
  </si>
  <si>
    <t>Nb Barils =</t>
  </si>
  <si>
    <t>environ</t>
  </si>
  <si>
    <t>(au 30/11/11)</t>
  </si>
  <si>
    <t>Exo 3</t>
  </si>
  <si>
    <t>Un portefeuille est investi dans  un zéro coupon d’échéance 1 an  ( valeur actuelle = 938 967€ et valeur nominale = 1 million d’€) et un zéro coupon d’échéance 10 ans (valeur actuelle = 997 889€ et valeur nominale 2 millions d’€).</t>
  </si>
  <si>
    <t>Q6  : Donner le taux de rendement actuariel du portefeuille</t>
  </si>
  <si>
    <t>Rdt ZC 1</t>
  </si>
  <si>
    <t>Rdt ZC 10</t>
  </si>
  <si>
    <t>Rdt</t>
  </si>
  <si>
    <t>Durée</t>
  </si>
  <si>
    <t>Rbt en%</t>
  </si>
  <si>
    <t>Rbt en K€</t>
  </si>
  <si>
    <t>Vo(ZC)</t>
  </si>
  <si>
    <t>Estimation du Rdt du portefeuille</t>
  </si>
  <si>
    <t>Rdt Port 1</t>
  </si>
  <si>
    <t>Rdt Port 2</t>
  </si>
  <si>
    <t>Rdt estimé</t>
  </si>
  <si>
    <t>TRI exact</t>
  </si>
  <si>
    <t>Q7  : Quelle est la duration (au sens de Macaulay) du portefeuille</t>
  </si>
  <si>
    <t>D(ZC1)</t>
  </si>
  <si>
    <t>D(ZC10)</t>
  </si>
  <si>
    <t>D(Port)</t>
  </si>
  <si>
    <t>Q8  : Quelle sera la plus ou moins value (en %) en cas de baisse de 0,40% des taux de marché</t>
  </si>
  <si>
    <t>Exact</t>
  </si>
  <si>
    <t>Vo(Port) =</t>
  </si>
  <si>
    <t>Δr =</t>
  </si>
  <si>
    <t>± Value</t>
  </si>
  <si>
    <t>avec Duration</t>
  </si>
  <si>
    <t xml:space="preserve">    D(Port) = ( 1 * 938,967 + 10 * 997,889 ) / 1 936,856</t>
  </si>
  <si>
    <t xml:space="preserve">  -D * [ Δr / (1+r) ]</t>
  </si>
  <si>
    <t xml:space="preserve">  [  Vo(r+Δr) - Vo( r) ] / Vo(r)</t>
  </si>
  <si>
    <t>Un portefeuille comprend 500 titres, 600 Call vendus  et 250 Put achetés.</t>
  </si>
  <si>
    <t>Paramètres :   S = 45,50€      r = 4%    échéance = 3 mois (1/4 d’année) et volatilité σ = 0,20</t>
  </si>
  <si>
    <t>Exo 4</t>
  </si>
  <si>
    <t>CALL</t>
  </si>
  <si>
    <t>PUT</t>
  </si>
  <si>
    <t>EXACT</t>
  </si>
  <si>
    <t xml:space="preserve">  lecture table f(.)</t>
  </si>
  <si>
    <t xml:space="preserve">  lecture table N(.)</t>
  </si>
  <si>
    <t>Δ (.)</t>
  </si>
  <si>
    <t>Γ (.)</t>
  </si>
  <si>
    <t>Q9  : Donner le Delta et le Gamma du portefeuille</t>
  </si>
  <si>
    <t>Δ (Port)</t>
  </si>
  <si>
    <t>Vo (Port)</t>
  </si>
  <si>
    <t>Vo(.)</t>
  </si>
  <si>
    <t>Γ (Port)</t>
  </si>
  <si>
    <t>Q10  : En ajustant avec le Call, donner les quantités de titres, de Call et de Put pour avoir un portefeuille Delta Gamma neutres</t>
  </si>
  <si>
    <t xml:space="preserve">Traitement de Γ = 0 </t>
  </si>
  <si>
    <t>Nb Call à obtenir :</t>
  </si>
  <si>
    <r>
      <t xml:space="preserve">Traitement du </t>
    </r>
    <r>
      <rPr>
        <sz val="11"/>
        <color theme="1"/>
        <rFont val="Calibri"/>
        <family val="2"/>
      </rPr>
      <t>Δ = 0</t>
    </r>
  </si>
  <si>
    <t>Nb Titres à obtenir</t>
  </si>
  <si>
    <t>Vérification</t>
  </si>
  <si>
    <t>Avant</t>
  </si>
  <si>
    <t>Après</t>
  </si>
  <si>
    <t xml:space="preserve">EUR-NOK Fwd 3m </t>
  </si>
  <si>
    <t xml:space="preserve">Voir exo1 </t>
  </si>
  <si>
    <t>Même prix du titre et du sous-jacent</t>
  </si>
  <si>
    <t>au facteur 10</t>
  </si>
  <si>
    <r>
      <t>PUT :   Prix d’exercice = E</t>
    </r>
    <r>
      <rPr>
        <vertAlign val="subscript"/>
        <sz val="10"/>
        <color theme="1"/>
        <rFont val="Times New Roman"/>
        <family val="1"/>
      </rPr>
      <t>P</t>
    </r>
    <r>
      <rPr>
        <sz val="10"/>
        <color theme="1"/>
        <rFont val="Times New Roman"/>
        <family val="1"/>
      </rPr>
      <t xml:space="preserve"> = 46,00€      d1 = 0,0407      Δ</t>
    </r>
    <r>
      <rPr>
        <vertAlign val="subscript"/>
        <sz val="10"/>
        <color theme="1"/>
        <rFont val="Times New Roman"/>
        <family val="1"/>
      </rPr>
      <t>P</t>
    </r>
    <r>
      <rPr>
        <sz val="10"/>
        <color theme="1"/>
        <rFont val="Times New Roman"/>
        <family val="1"/>
      </rPr>
      <t xml:space="preserve"> = -0,48376       CALL :  Prix d’exercice = E</t>
    </r>
    <r>
      <rPr>
        <vertAlign val="subscript"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 xml:space="preserve"> = 45,00€</t>
    </r>
  </si>
  <si>
    <t>CORRIGE EXAMEN N° 2    M2 MASS 2011 - 2012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</si>
</sst>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"/>
    <numFmt numFmtId="166" formatCode="0.000%"/>
    <numFmt numFmtId="167" formatCode="0.0000%"/>
    <numFmt numFmtId="168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vertAlign val="subscript"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Alignment="1">
      <alignment horizontal="center"/>
    </xf>
    <xf numFmtId="9" fontId="0" fillId="0" borderId="0" xfId="0" applyNumberFormat="1"/>
    <xf numFmtId="164" fontId="0" fillId="0" borderId="0" xfId="0" applyNumberFormat="1"/>
    <xf numFmtId="2" fontId="0" fillId="0" borderId="0" xfId="0" applyNumberFormat="1"/>
    <xf numFmtId="10" fontId="0" fillId="0" borderId="0" xfId="0" applyNumberFormat="1"/>
    <xf numFmtId="3" fontId="0" fillId="0" borderId="0" xfId="0" applyNumberFormat="1"/>
    <xf numFmtId="167" fontId="0" fillId="0" borderId="0" xfId="1" applyNumberFormat="1" applyFont="1"/>
    <xf numFmtId="0" fontId="0" fillId="0" borderId="0" xfId="0" applyAlignment="1">
      <alignment horizontal="center"/>
    </xf>
    <xf numFmtId="0" fontId="2" fillId="0" borderId="0" xfId="0" applyFont="1"/>
    <xf numFmtId="168" fontId="0" fillId="0" borderId="0" xfId="0" applyNumberFormat="1"/>
    <xf numFmtId="0" fontId="2" fillId="2" borderId="0" xfId="0" applyFont="1" applyFill="1" applyAlignment="1">
      <alignment horizontal="center"/>
    </xf>
    <xf numFmtId="2" fontId="2" fillId="2" borderId="0" xfId="0" applyNumberFormat="1" applyFont="1" applyFill="1"/>
    <xf numFmtId="0" fontId="2" fillId="2" borderId="2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0" xfId="0" applyFont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10" fontId="0" fillId="0" borderId="0" xfId="1" applyNumberFormat="1" applyFont="1"/>
    <xf numFmtId="166" fontId="0" fillId="0" borderId="0" xfId="1" applyNumberFormat="1" applyFont="1"/>
    <xf numFmtId="0" fontId="8" fillId="4" borderId="0" xfId="0" applyFont="1" applyFill="1" applyAlignment="1">
      <alignment vertical="center"/>
    </xf>
    <xf numFmtId="0" fontId="2" fillId="4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3" borderId="5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2" fillId="3" borderId="7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center" indent="15"/>
    </xf>
    <xf numFmtId="0" fontId="0" fillId="3" borderId="0" xfId="0" applyFill="1" applyBorder="1"/>
    <xf numFmtId="0" fontId="0" fillId="3" borderId="8" xfId="0" applyFill="1" applyBorder="1"/>
    <xf numFmtId="0" fontId="0" fillId="3" borderId="7" xfId="0" applyFill="1" applyBorder="1"/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0" fontId="7" fillId="3" borderId="0" xfId="0" applyNumberFormat="1" applyFont="1" applyFill="1" applyBorder="1" applyAlignment="1">
      <alignment vertical="center"/>
    </xf>
    <xf numFmtId="10" fontId="0" fillId="3" borderId="8" xfId="0" applyNumberFormat="1" applyFont="1" applyFill="1" applyBorder="1"/>
    <xf numFmtId="10" fontId="0" fillId="3" borderId="0" xfId="0" applyNumberFormat="1" applyFont="1" applyFill="1" applyBorder="1"/>
    <xf numFmtId="10" fontId="7" fillId="3" borderId="8" xfId="0" applyNumberFormat="1" applyFont="1" applyFill="1" applyBorder="1" applyAlignment="1">
      <alignment vertical="center"/>
    </xf>
    <xf numFmtId="0" fontId="0" fillId="3" borderId="9" xfId="0" applyFill="1" applyBorder="1"/>
    <xf numFmtId="0" fontId="0" fillId="3" borderId="10" xfId="0" applyFill="1" applyBorder="1"/>
    <xf numFmtId="0" fontId="3" fillId="3" borderId="10" xfId="0" applyFont="1" applyFill="1" applyBorder="1"/>
    <xf numFmtId="10" fontId="7" fillId="3" borderId="10" xfId="0" applyNumberFormat="1" applyFont="1" applyFill="1" applyBorder="1"/>
    <xf numFmtId="10" fontId="0" fillId="3" borderId="11" xfId="0" applyNumberFormat="1" applyFont="1" applyFill="1" applyBorder="1"/>
    <xf numFmtId="0" fontId="6" fillId="2" borderId="2" xfId="0" applyFont="1" applyFill="1" applyBorder="1" applyAlignment="1">
      <alignment vertical="center"/>
    </xf>
    <xf numFmtId="0" fontId="0" fillId="2" borderId="4" xfId="0" applyFill="1" applyBorder="1"/>
    <xf numFmtId="164" fontId="2" fillId="2" borderId="3" xfId="0" applyNumberFormat="1" applyFont="1" applyFill="1" applyBorder="1" applyAlignment="1">
      <alignment horizontal="center"/>
    </xf>
    <xf numFmtId="0" fontId="6" fillId="4" borderId="0" xfId="0" applyFont="1" applyFill="1" applyAlignment="1">
      <alignment vertical="center"/>
    </xf>
    <xf numFmtId="0" fontId="2" fillId="3" borderId="0" xfId="0" applyFont="1" applyFill="1" applyBorder="1"/>
    <xf numFmtId="0" fontId="3" fillId="3" borderId="0" xfId="0" applyFont="1" applyFill="1" applyBorder="1"/>
    <xf numFmtId="10" fontId="7" fillId="3" borderId="0" xfId="0" applyNumberFormat="1" applyFont="1" applyFill="1" applyBorder="1"/>
    <xf numFmtId="164" fontId="2" fillId="2" borderId="4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vertical="center"/>
    </xf>
    <xf numFmtId="0" fontId="0" fillId="5" borderId="4" xfId="0" applyFill="1" applyBorder="1"/>
    <xf numFmtId="164" fontId="2" fillId="5" borderId="4" xfId="0" applyNumberFormat="1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66" fontId="2" fillId="0" borderId="0" xfId="0" applyNumberFormat="1" applyFont="1"/>
    <xf numFmtId="166" fontId="2" fillId="2" borderId="1" xfId="1" applyNumberFormat="1" applyFont="1" applyFill="1" applyBorder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7" borderId="0" xfId="0" applyFont="1" applyFill="1" applyAlignment="1">
      <alignment horizontal="center"/>
    </xf>
    <xf numFmtId="0" fontId="10" fillId="0" borderId="0" xfId="0" applyFont="1"/>
    <xf numFmtId="10" fontId="2" fillId="2" borderId="3" xfId="1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0" borderId="8" xfId="0" applyBorder="1"/>
    <xf numFmtId="0" fontId="3" fillId="6" borderId="15" xfId="0" applyFont="1" applyFill="1" applyBorder="1" applyAlignment="1">
      <alignment vertical="center"/>
    </xf>
    <xf numFmtId="0" fontId="0" fillId="6" borderId="5" xfId="0" applyFill="1" applyBorder="1"/>
    <xf numFmtId="0" fontId="0" fillId="6" borderId="6" xfId="0" applyFill="1" applyBorder="1"/>
    <xf numFmtId="0" fontId="3" fillId="6" borderId="7" xfId="0" applyFont="1" applyFill="1" applyBorder="1" applyAlignment="1">
      <alignment vertical="center"/>
    </xf>
    <xf numFmtId="0" fontId="0" fillId="6" borderId="0" xfId="0" applyFill="1" applyBorder="1"/>
    <xf numFmtId="0" fontId="0" fillId="6" borderId="8" xfId="0" applyFill="1" applyBorder="1"/>
    <xf numFmtId="0" fontId="3" fillId="6" borderId="9" xfId="0" applyFont="1" applyFill="1" applyBorder="1" applyAlignment="1">
      <alignment vertical="center"/>
    </xf>
    <xf numFmtId="0" fontId="0" fillId="6" borderId="10" xfId="0" applyFill="1" applyBorder="1"/>
    <xf numFmtId="0" fontId="0" fillId="6" borderId="11" xfId="0" applyFill="1" applyBorder="1"/>
    <xf numFmtId="0" fontId="0" fillId="0" borderId="15" xfId="0" applyBorder="1"/>
    <xf numFmtId="0" fontId="2" fillId="0" borderId="6" xfId="0" applyFont="1" applyBorder="1" applyAlignment="1">
      <alignment horizontal="center"/>
    </xf>
    <xf numFmtId="0" fontId="0" fillId="0" borderId="7" xfId="0" applyBorder="1"/>
    <xf numFmtId="0" fontId="2" fillId="0" borderId="8" xfId="0" applyFont="1" applyBorder="1" applyAlignment="1">
      <alignment horizontal="center"/>
    </xf>
    <xf numFmtId="0" fontId="0" fillId="0" borderId="9" xfId="0" applyBorder="1"/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5" xfId="0" applyNumberFormat="1" applyBorder="1"/>
    <xf numFmtId="165" fontId="0" fillId="0" borderId="10" xfId="0" applyNumberFormat="1" applyBorder="1"/>
    <xf numFmtId="9" fontId="0" fillId="0" borderId="6" xfId="0" applyNumberFormat="1" applyBorder="1"/>
    <xf numFmtId="9" fontId="0" fillId="0" borderId="11" xfId="0" applyNumberFormat="1" applyBorder="1"/>
    <xf numFmtId="0" fontId="2" fillId="0" borderId="0" xfId="0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0" fontId="2" fillId="0" borderId="15" xfId="0" applyFont="1" applyBorder="1"/>
    <xf numFmtId="0" fontId="2" fillId="0" borderId="7" xfId="0" applyFont="1" applyBorder="1"/>
    <xf numFmtId="0" fontId="2" fillId="0" borderId="9" xfId="0" applyFont="1" applyBorder="1"/>
    <xf numFmtId="2" fontId="2" fillId="0" borderId="0" xfId="0" applyNumberFormat="1" applyFont="1"/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tabSelected="1" topLeftCell="A32" workbookViewId="0">
      <selection activeCell="P54" sqref="P54"/>
    </sheetView>
  </sheetViews>
  <sheetFormatPr baseColWidth="10" defaultRowHeight="15" x14ac:dyDescent="0.25"/>
  <cols>
    <col min="6" max="6" width="13.140625" customWidth="1"/>
  </cols>
  <sheetData>
    <row r="1" spans="1:12" ht="15.75" thickBot="1" x14ac:dyDescent="0.3">
      <c r="B1" s="117" t="s">
        <v>127</v>
      </c>
      <c r="C1" s="118"/>
      <c r="D1" s="118"/>
      <c r="E1" s="119"/>
    </row>
    <row r="2" spans="1:12" ht="15.75" thickBot="1" x14ac:dyDescent="0.3"/>
    <row r="3" spans="1:12" ht="29.25" customHeight="1" thickBot="1" x14ac:dyDescent="0.3">
      <c r="A3" s="27" t="s">
        <v>57</v>
      </c>
      <c r="B3" s="107" t="s">
        <v>17</v>
      </c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5" spans="1:12" x14ac:dyDescent="0.25">
      <c r="A5" s="25" t="s">
        <v>53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x14ac:dyDescent="0.25">
      <c r="B6" s="1" t="s">
        <v>0</v>
      </c>
      <c r="C6">
        <v>450</v>
      </c>
      <c r="E6" s="1" t="s">
        <v>2</v>
      </c>
      <c r="F6">
        <v>0.25</v>
      </c>
      <c r="H6" s="1" t="s">
        <v>19</v>
      </c>
      <c r="I6" s="1">
        <v>0.26</v>
      </c>
      <c r="J6" t="s">
        <v>18</v>
      </c>
    </row>
    <row r="7" spans="1:12" x14ac:dyDescent="0.25">
      <c r="B7" s="1" t="s">
        <v>1</v>
      </c>
      <c r="C7" s="2">
        <v>0.04</v>
      </c>
      <c r="E7" s="1" t="s">
        <v>3</v>
      </c>
      <c r="F7" s="2">
        <v>0.2</v>
      </c>
      <c r="H7" s="1" t="s">
        <v>22</v>
      </c>
      <c r="I7" s="1">
        <f>I6-F7*SQRT(F6)</f>
        <v>0.16</v>
      </c>
      <c r="J7" t="s">
        <v>24</v>
      </c>
    </row>
    <row r="8" spans="1:12" x14ac:dyDescent="0.25">
      <c r="B8" s="1" t="s">
        <v>20</v>
      </c>
      <c r="C8" s="4">
        <v>23.09</v>
      </c>
      <c r="E8" s="1" t="s">
        <v>8</v>
      </c>
      <c r="F8">
        <v>0.60275999999999996</v>
      </c>
      <c r="H8" s="1" t="s">
        <v>9</v>
      </c>
      <c r="I8" s="1">
        <v>0.56359999999999999</v>
      </c>
      <c r="J8" t="s">
        <v>23</v>
      </c>
    </row>
    <row r="9" spans="1:12" ht="15.75" thickBot="1" x14ac:dyDescent="0.3"/>
    <row r="10" spans="1:12" ht="15.75" thickBot="1" x14ac:dyDescent="0.3">
      <c r="B10" s="13" t="s">
        <v>21</v>
      </c>
      <c r="C10" s="14">
        <f>(C8+C6*EXP(-C7*F6)*I8)/F8</f>
        <v>454.88492739309845</v>
      </c>
    </row>
    <row r="12" spans="1:12" x14ac:dyDescent="0.25">
      <c r="B12" s="9" t="s">
        <v>29</v>
      </c>
      <c r="C12" t="s">
        <v>19</v>
      </c>
      <c r="D12" s="16">
        <f>(LN(C10/C6)+(C7+F7*F7/2)*F6)/(F7*SQRT(F6))</f>
        <v>0.25796897371904826</v>
      </c>
      <c r="E12" s="8" t="s">
        <v>25</v>
      </c>
      <c r="F12">
        <v>0.6018</v>
      </c>
    </row>
    <row r="13" spans="1:12" x14ac:dyDescent="0.25">
      <c r="C13" t="s">
        <v>22</v>
      </c>
      <c r="D13" s="16">
        <f>D12-F7*SQRT(F6)</f>
        <v>0.15796897371904825</v>
      </c>
      <c r="E13" s="8" t="s">
        <v>26</v>
      </c>
      <c r="F13">
        <v>0.56279999999999997</v>
      </c>
    </row>
    <row r="14" spans="1:12" ht="15.75" thickBot="1" x14ac:dyDescent="0.3">
      <c r="C14" t="s">
        <v>20</v>
      </c>
      <c r="D14" s="18">
        <f>C10*F12-C6*EXP(-C7*F6)*F13</f>
        <v>23.009728409852329</v>
      </c>
      <c r="E14" s="19" t="s">
        <v>28</v>
      </c>
    </row>
    <row r="15" spans="1:12" ht="15.75" thickBot="1" x14ac:dyDescent="0.3">
      <c r="D15" t="s">
        <v>27</v>
      </c>
      <c r="H15" s="21">
        <v>455</v>
      </c>
    </row>
    <row r="17" spans="1:12" x14ac:dyDescent="0.25">
      <c r="B17" s="9" t="s">
        <v>30</v>
      </c>
      <c r="C17" t="s">
        <v>19</v>
      </c>
      <c r="D17">
        <f>(LN(H15/C6)+(C7+F7*F7/2)*F6)/(F7*SQRT(F6))</f>
        <v>0.26049836186584935</v>
      </c>
      <c r="E17" s="8" t="s">
        <v>25</v>
      </c>
      <c r="F17">
        <v>0.6028</v>
      </c>
    </row>
    <row r="18" spans="1:12" x14ac:dyDescent="0.25">
      <c r="C18" t="s">
        <v>22</v>
      </c>
      <c r="D18">
        <f>D17-F7*SQRT(F6)</f>
        <v>0.16049836186584934</v>
      </c>
      <c r="E18" s="8" t="s">
        <v>26</v>
      </c>
      <c r="F18">
        <v>0.56379999999999997</v>
      </c>
    </row>
    <row r="19" spans="1:12" x14ac:dyDescent="0.25">
      <c r="C19" t="s">
        <v>20</v>
      </c>
      <c r="D19" s="18">
        <f>H15*F17-C6*EXP(-C7*F6)*F18</f>
        <v>23.088456679498591</v>
      </c>
      <c r="E19" t="s">
        <v>31</v>
      </c>
    </row>
    <row r="21" spans="1:12" x14ac:dyDescent="0.25">
      <c r="A21" s="25" t="s">
        <v>54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15.75" thickBot="1" x14ac:dyDescent="0.3">
      <c r="A22" s="1"/>
      <c r="B22" t="s">
        <v>32</v>
      </c>
    </row>
    <row r="23" spans="1:12" ht="15.75" thickBot="1" x14ac:dyDescent="0.3">
      <c r="A23" s="1"/>
      <c r="B23" s="13" t="s">
        <v>33</v>
      </c>
      <c r="C23" s="14">
        <f>C8-H15+C6*EXP(-C7*F6)</f>
        <v>13.612425187125609</v>
      </c>
    </row>
    <row r="25" spans="1:12" ht="15.75" thickBot="1" x14ac:dyDescent="0.3">
      <c r="A25" s="1"/>
      <c r="B25" s="2"/>
    </row>
    <row r="26" spans="1:12" ht="15.75" thickBot="1" x14ac:dyDescent="0.3">
      <c r="A26" s="28" t="s">
        <v>56</v>
      </c>
      <c r="B26" s="29" t="s">
        <v>34</v>
      </c>
      <c r="C26" s="30"/>
      <c r="D26" s="30"/>
      <c r="E26" s="30"/>
      <c r="F26" s="30"/>
      <c r="G26" s="30"/>
      <c r="H26" s="30"/>
      <c r="I26" s="31"/>
    </row>
    <row r="27" spans="1:12" x14ac:dyDescent="0.25">
      <c r="A27" s="32"/>
      <c r="B27" s="33" t="s">
        <v>35</v>
      </c>
      <c r="C27" s="34"/>
      <c r="D27" s="34"/>
      <c r="E27" s="33" t="s">
        <v>36</v>
      </c>
      <c r="F27" s="34"/>
      <c r="G27" s="34"/>
      <c r="H27" s="34"/>
      <c r="I27" s="35"/>
    </row>
    <row r="28" spans="1:12" x14ac:dyDescent="0.25">
      <c r="A28" s="36"/>
      <c r="B28" s="34"/>
      <c r="C28" s="34"/>
      <c r="D28" s="37" t="s">
        <v>37</v>
      </c>
      <c r="E28" s="37" t="s">
        <v>45</v>
      </c>
      <c r="F28" s="34"/>
      <c r="G28" s="34"/>
      <c r="H28" s="34" t="s">
        <v>44</v>
      </c>
      <c r="I28" s="35" t="s">
        <v>46</v>
      </c>
    </row>
    <row r="29" spans="1:12" x14ac:dyDescent="0.25">
      <c r="A29" s="32"/>
      <c r="B29" s="38" t="s">
        <v>38</v>
      </c>
      <c r="C29" s="34"/>
      <c r="D29" s="38">
        <v>5.8806000000000003</v>
      </c>
      <c r="E29" s="52">
        <v>5.8903999999999996</v>
      </c>
      <c r="F29" s="34"/>
      <c r="G29" s="37" t="s">
        <v>39</v>
      </c>
      <c r="H29" s="39">
        <v>3.4000000000000002E-2</v>
      </c>
      <c r="I29" s="40">
        <v>3.5999999999999997E-2</v>
      </c>
    </row>
    <row r="30" spans="1:12" x14ac:dyDescent="0.25">
      <c r="A30" s="32"/>
      <c r="B30" s="38" t="s">
        <v>40</v>
      </c>
      <c r="C30" s="34"/>
      <c r="D30" s="38">
        <v>0.75029999999999997</v>
      </c>
      <c r="E30" s="38">
        <v>0.75839999999999996</v>
      </c>
      <c r="F30" s="34"/>
      <c r="G30" s="37" t="s">
        <v>41</v>
      </c>
      <c r="H30" s="41">
        <v>2.9000000000000001E-2</v>
      </c>
      <c r="I30" s="42">
        <v>3.2000000000000001E-2</v>
      </c>
    </row>
    <row r="31" spans="1:12" ht="15.75" thickBot="1" x14ac:dyDescent="0.3">
      <c r="A31" s="43"/>
      <c r="B31" s="44"/>
      <c r="C31" s="45" t="s">
        <v>42</v>
      </c>
      <c r="D31" s="44"/>
      <c r="E31" s="44"/>
      <c r="F31" s="44"/>
      <c r="G31" s="45" t="s">
        <v>43</v>
      </c>
      <c r="H31" s="46">
        <v>3.7999999999999999E-2</v>
      </c>
      <c r="I31" s="47">
        <v>4.2000000000000003E-2</v>
      </c>
    </row>
    <row r="32" spans="1:12" x14ac:dyDescent="0.25">
      <c r="A32" s="1"/>
      <c r="B32" s="3"/>
    </row>
    <row r="33" spans="1:12" x14ac:dyDescent="0.25">
      <c r="A33" s="25" t="s">
        <v>55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x14ac:dyDescent="0.25">
      <c r="D34" s="1" t="s">
        <v>58</v>
      </c>
      <c r="H34" s="1" t="s">
        <v>58</v>
      </c>
    </row>
    <row r="35" spans="1:12" x14ac:dyDescent="0.25">
      <c r="A35" s="1"/>
      <c r="B35" s="22" t="s">
        <v>48</v>
      </c>
      <c r="D35">
        <f>(D29+E29)/2</f>
        <v>5.8855000000000004</v>
      </c>
      <c r="F35" t="s">
        <v>50</v>
      </c>
      <c r="H35" s="24">
        <f>(H29+I29)/2</f>
        <v>3.5000000000000003E-2</v>
      </c>
    </row>
    <row r="36" spans="1:12" x14ac:dyDescent="0.25">
      <c r="B36" s="22" t="s">
        <v>51</v>
      </c>
      <c r="D36">
        <f>(D30+E30)/2</f>
        <v>0.75434999999999997</v>
      </c>
      <c r="F36" t="s">
        <v>49</v>
      </c>
      <c r="H36" s="24">
        <f>(H30+I30)/2</f>
        <v>3.0499999999999999E-2</v>
      </c>
    </row>
    <row r="37" spans="1:12" x14ac:dyDescent="0.25">
      <c r="A37" s="1"/>
      <c r="F37" t="s">
        <v>52</v>
      </c>
      <c r="H37" s="24">
        <f>(H31+I31)/2</f>
        <v>0.04</v>
      </c>
    </row>
    <row r="38" spans="1:12" x14ac:dyDescent="0.25">
      <c r="B38" s="22" t="s">
        <v>47</v>
      </c>
      <c r="D38" s="3">
        <f>D35*(1+H35/4)/(1+H36/4)</f>
        <v>5.8920710829921852</v>
      </c>
    </row>
    <row r="39" spans="1:12" ht="15.75" thickBot="1" x14ac:dyDescent="0.3">
      <c r="B39" s="22"/>
    </row>
    <row r="40" spans="1:12" ht="15.75" thickBot="1" x14ac:dyDescent="0.3">
      <c r="B40" s="48" t="s">
        <v>59</v>
      </c>
      <c r="C40" s="49"/>
      <c r="D40" s="50">
        <f>(1/D38)*D36</f>
        <v>0.12802798699721668</v>
      </c>
    </row>
    <row r="41" spans="1:12" x14ac:dyDescent="0.25">
      <c r="B41" s="22"/>
    </row>
    <row r="42" spans="1:12" x14ac:dyDescent="0.25">
      <c r="A42" s="25" t="s">
        <v>60</v>
      </c>
      <c r="B42" s="51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x14ac:dyDescent="0.25">
      <c r="B43" s="22"/>
    </row>
    <row r="44" spans="1:12" x14ac:dyDescent="0.25">
      <c r="B44" s="38" t="s">
        <v>38</v>
      </c>
      <c r="C44" s="34"/>
      <c r="D44" s="38">
        <v>5.8806000000000003</v>
      </c>
      <c r="E44" s="52">
        <v>5.8903999999999996</v>
      </c>
      <c r="G44" s="37" t="s">
        <v>39</v>
      </c>
      <c r="H44" s="39">
        <v>3.4000000000000002E-2</v>
      </c>
      <c r="I44" s="41">
        <v>3.5999999999999997E-2</v>
      </c>
    </row>
    <row r="45" spans="1:12" x14ac:dyDescent="0.25">
      <c r="B45" s="38" t="s">
        <v>40</v>
      </c>
      <c r="C45" s="34"/>
      <c r="D45" s="38">
        <v>0.75029999999999997</v>
      </c>
      <c r="E45" s="38">
        <v>0.75839999999999996</v>
      </c>
      <c r="G45" s="37" t="s">
        <v>41</v>
      </c>
      <c r="H45" s="41">
        <v>2.9000000000000001E-2</v>
      </c>
      <c r="I45" s="39">
        <v>3.2000000000000001E-2</v>
      </c>
    </row>
    <row r="46" spans="1:12" ht="15.75" thickBot="1" x14ac:dyDescent="0.3">
      <c r="G46" s="53" t="s">
        <v>43</v>
      </c>
      <c r="H46" s="54">
        <v>3.7999999999999999E-2</v>
      </c>
      <c r="I46" s="41">
        <v>4.2000000000000003E-2</v>
      </c>
    </row>
    <row r="47" spans="1:12" ht="15.75" thickBot="1" x14ac:dyDescent="0.3">
      <c r="B47" s="56" t="s">
        <v>61</v>
      </c>
      <c r="C47" s="57"/>
      <c r="D47" s="58">
        <f>D45*(1+H46/4)/(1+I44/4)</f>
        <v>0.75067180376610509</v>
      </c>
      <c r="E47" s="59">
        <f>E45*(1+I46/4)/(1+H44/4)</f>
        <v>0.75990401586514622</v>
      </c>
    </row>
    <row r="48" spans="1:12" ht="15.75" thickBot="1" x14ac:dyDescent="0.3">
      <c r="B48" s="22"/>
    </row>
    <row r="49" spans="1:12" ht="15.75" thickBot="1" x14ac:dyDescent="0.3">
      <c r="B49" s="48" t="s">
        <v>122</v>
      </c>
      <c r="C49" s="49"/>
      <c r="D49" s="55">
        <f>D44/E47</f>
        <v>7.7386089258983217</v>
      </c>
      <c r="E49" s="50">
        <f>E44/D47</f>
        <v>7.846837952948257</v>
      </c>
      <c r="G49" s="98">
        <f>1/E49</f>
        <v>0.12743986889958325</v>
      </c>
      <c r="H49" s="98">
        <f>1/D49</f>
        <v>0.12922219090996601</v>
      </c>
    </row>
    <row r="51" spans="1:12" x14ac:dyDescent="0.25">
      <c r="A51" s="25" t="s">
        <v>62</v>
      </c>
      <c r="B51" s="26"/>
      <c r="C51" s="26"/>
      <c r="D51" s="26"/>
      <c r="E51" s="26"/>
      <c r="F51" s="26"/>
      <c r="G51" s="26"/>
      <c r="H51" s="26"/>
      <c r="I51" s="26" t="s">
        <v>70</v>
      </c>
      <c r="J51" s="26"/>
      <c r="K51" s="26"/>
      <c r="L51" s="26"/>
    </row>
    <row r="53" spans="1:12" x14ac:dyDescent="0.25">
      <c r="B53" t="s">
        <v>63</v>
      </c>
      <c r="D53">
        <v>110</v>
      </c>
    </row>
    <row r="54" spans="1:12" x14ac:dyDescent="0.25">
      <c r="B54" t="s">
        <v>64</v>
      </c>
      <c r="D54">
        <v>1700</v>
      </c>
      <c r="F54" t="s">
        <v>67</v>
      </c>
      <c r="G54">
        <v>32.15</v>
      </c>
    </row>
    <row r="55" spans="1:12" x14ac:dyDescent="0.25">
      <c r="B55" t="s">
        <v>65</v>
      </c>
      <c r="D55">
        <v>32.799999999999997</v>
      </c>
      <c r="F55" t="s">
        <v>66</v>
      </c>
      <c r="G55">
        <f>D55*G54</f>
        <v>1054.5199999999998</v>
      </c>
    </row>
    <row r="56" spans="1:12" ht="15.75" thickBot="1" x14ac:dyDescent="0.3"/>
    <row r="57" spans="1:12" ht="15.75" thickBot="1" x14ac:dyDescent="0.3">
      <c r="B57" s="20" t="s">
        <v>68</v>
      </c>
      <c r="C57" s="60">
        <f>(12*D54+G55)/D53</f>
        <v>195.04109090909091</v>
      </c>
      <c r="D57" t="s">
        <v>69</v>
      </c>
    </row>
    <row r="58" spans="1:12" ht="15.75" thickBot="1" x14ac:dyDescent="0.3"/>
    <row r="59" spans="1:12" ht="34.5" customHeight="1" thickBot="1" x14ac:dyDescent="0.3">
      <c r="A59" s="27" t="s">
        <v>71</v>
      </c>
      <c r="B59" s="109" t="s">
        <v>72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1"/>
    </row>
    <row r="61" spans="1:12" x14ac:dyDescent="0.25">
      <c r="A61" s="51" t="s">
        <v>73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1:12" x14ac:dyDescent="0.25">
      <c r="C62" s="61" t="s">
        <v>76</v>
      </c>
      <c r="D62" s="61" t="s">
        <v>77</v>
      </c>
      <c r="E62" s="61" t="s">
        <v>78</v>
      </c>
      <c r="F62" s="61" t="s">
        <v>79</v>
      </c>
      <c r="G62" s="61" t="s">
        <v>80</v>
      </c>
      <c r="J62">
        <v>0</v>
      </c>
      <c r="K62" s="10">
        <f>-G66</f>
        <v>-1936.856</v>
      </c>
    </row>
    <row r="63" spans="1:12" x14ac:dyDescent="0.25">
      <c r="B63" t="s">
        <v>74</v>
      </c>
      <c r="C63" s="23">
        <f>F63/G63-1</f>
        <v>6.5000154425022494E-2</v>
      </c>
      <c r="D63">
        <v>1</v>
      </c>
      <c r="E63" s="7">
        <f>1/(1+C66)^D63</f>
        <v>1</v>
      </c>
      <c r="F63" s="6">
        <v>1000</v>
      </c>
      <c r="G63">
        <v>938.96699999999998</v>
      </c>
      <c r="J63">
        <v>1</v>
      </c>
      <c r="K63" s="6">
        <f>F63</f>
        <v>1000</v>
      </c>
    </row>
    <row r="64" spans="1:12" x14ac:dyDescent="0.25">
      <c r="B64" t="s">
        <v>75</v>
      </c>
      <c r="C64" s="23">
        <f>(F64/G64)^(1/D64)-1</f>
        <v>7.1999976992208836E-2</v>
      </c>
      <c r="D64">
        <v>10</v>
      </c>
      <c r="E64" s="7">
        <f>1/(1+C67)^D64</f>
        <v>1</v>
      </c>
      <c r="F64" s="6">
        <v>2000</v>
      </c>
      <c r="G64">
        <v>997.88900000000001</v>
      </c>
      <c r="J64">
        <v>2</v>
      </c>
      <c r="K64">
        <v>0</v>
      </c>
    </row>
    <row r="65" spans="1:12" x14ac:dyDescent="0.25">
      <c r="E65" s="5"/>
      <c r="J65">
        <v>3</v>
      </c>
      <c r="K65">
        <v>0</v>
      </c>
    </row>
    <row r="66" spans="1:12" x14ac:dyDescent="0.25">
      <c r="C66" s="5"/>
      <c r="G66">
        <f>G63+G64</f>
        <v>1936.856</v>
      </c>
      <c r="J66">
        <v>4</v>
      </c>
      <c r="K66">
        <v>0</v>
      </c>
    </row>
    <row r="67" spans="1:12" x14ac:dyDescent="0.25">
      <c r="B67" t="s">
        <v>81</v>
      </c>
      <c r="C67" s="5"/>
      <c r="J67">
        <v>5</v>
      </c>
      <c r="K67">
        <v>0</v>
      </c>
    </row>
    <row r="68" spans="1:12" x14ac:dyDescent="0.25">
      <c r="B68" t="s">
        <v>82</v>
      </c>
      <c r="C68" s="5">
        <f>C63</f>
        <v>6.5000154425022494E-2</v>
      </c>
      <c r="G68">
        <f>F63/(1+C68)+F64/(1+C68)^D64</f>
        <v>2004.4175261365615</v>
      </c>
      <c r="J68">
        <v>6</v>
      </c>
      <c r="K68">
        <v>0</v>
      </c>
    </row>
    <row r="69" spans="1:12" ht="15.75" thickBot="1" x14ac:dyDescent="0.3">
      <c r="B69" t="s">
        <v>83</v>
      </c>
      <c r="C69" s="5">
        <f>C64</f>
        <v>7.1999976992208836E-2</v>
      </c>
      <c r="G69">
        <f>F63/(1+C69)+F64/(1+C69)^D64</f>
        <v>1930.7248409165047</v>
      </c>
      <c r="J69">
        <v>7</v>
      </c>
      <c r="K69">
        <v>0</v>
      </c>
    </row>
    <row r="70" spans="1:12" ht="15.75" thickBot="1" x14ac:dyDescent="0.3">
      <c r="C70" s="21" t="s">
        <v>84</v>
      </c>
      <c r="D70" s="63">
        <f>C68+(C69-C68)*((G68-G66)/(G68-G69))</f>
        <v>7.1417598624701886E-2</v>
      </c>
      <c r="J70">
        <v>8</v>
      </c>
      <c r="K70">
        <v>0</v>
      </c>
    </row>
    <row r="71" spans="1:12" x14ac:dyDescent="0.25">
      <c r="J71">
        <v>9</v>
      </c>
      <c r="K71">
        <v>0</v>
      </c>
    </row>
    <row r="72" spans="1:12" x14ac:dyDescent="0.25">
      <c r="J72">
        <v>10</v>
      </c>
      <c r="K72" s="6">
        <f>F64</f>
        <v>2000</v>
      </c>
    </row>
    <row r="74" spans="1:12" x14ac:dyDescent="0.25">
      <c r="J74" s="61" t="s">
        <v>85</v>
      </c>
      <c r="K74" s="62">
        <f>IRR(K62:K72)</f>
        <v>7.1399359106788518E-2</v>
      </c>
    </row>
    <row r="76" spans="1:12" x14ac:dyDescent="0.25">
      <c r="A76" s="51" t="s">
        <v>86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8" spans="1:12" x14ac:dyDescent="0.25">
      <c r="B78" s="8" t="s">
        <v>87</v>
      </c>
      <c r="C78" s="8">
        <v>1</v>
      </c>
    </row>
    <row r="79" spans="1:12" x14ac:dyDescent="0.25">
      <c r="B79" s="8" t="s">
        <v>88</v>
      </c>
      <c r="C79" s="8">
        <v>10</v>
      </c>
    </row>
    <row r="80" spans="1:12" ht="15.75" thickBot="1" x14ac:dyDescent="0.3">
      <c r="D80" t="s">
        <v>96</v>
      </c>
    </row>
    <row r="81" spans="1:12" ht="15.75" thickBot="1" x14ac:dyDescent="0.3">
      <c r="B81" s="13" t="s">
        <v>89</v>
      </c>
      <c r="C81" s="64">
        <f>(C78*G63+C79*G64)/G66</f>
        <v>5.6368965994374385</v>
      </c>
    </row>
    <row r="83" spans="1:12" x14ac:dyDescent="0.25">
      <c r="A83" s="51" t="s">
        <v>90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5" spans="1:12" x14ac:dyDescent="0.25">
      <c r="B85" s="65" t="s">
        <v>93</v>
      </c>
      <c r="C85" s="66">
        <v>-4.0000000000000001E-3</v>
      </c>
    </row>
    <row r="86" spans="1:12" x14ac:dyDescent="0.25">
      <c r="B86" s="67" t="s">
        <v>91</v>
      </c>
      <c r="C86" t="s">
        <v>92</v>
      </c>
      <c r="D86" s="10">
        <f>F63/(1+D70+C85)+F64/(1+D70+C85)^D64</f>
        <v>1978.405537626777</v>
      </c>
    </row>
    <row r="87" spans="1:12" ht="15.75" thickBot="1" x14ac:dyDescent="0.3"/>
    <row r="88" spans="1:12" ht="15.75" thickBot="1" x14ac:dyDescent="0.3">
      <c r="B88" s="70" t="s">
        <v>94</v>
      </c>
      <c r="C88" s="69">
        <f>(D86-G66)/G66</f>
        <v>2.1452053031705512E-2</v>
      </c>
      <c r="D88" s="68" t="s">
        <v>98</v>
      </c>
    </row>
    <row r="89" spans="1:12" x14ac:dyDescent="0.25">
      <c r="C89" s="1"/>
    </row>
    <row r="90" spans="1:12" x14ac:dyDescent="0.25">
      <c r="B90" s="67" t="s">
        <v>95</v>
      </c>
      <c r="C90" s="1"/>
    </row>
    <row r="91" spans="1:12" ht="15.75" thickBot="1" x14ac:dyDescent="0.3">
      <c r="C91" s="1"/>
    </row>
    <row r="92" spans="1:12" ht="15.75" thickBot="1" x14ac:dyDescent="0.3">
      <c r="B92" s="70" t="s">
        <v>94</v>
      </c>
      <c r="C92" s="69">
        <f>-C81*(C85/(1+D70))</f>
        <v>2.1044629495252265E-2</v>
      </c>
      <c r="D92" s="68" t="s">
        <v>97</v>
      </c>
    </row>
    <row r="94" spans="1:12" ht="15.75" thickBot="1" x14ac:dyDescent="0.3"/>
    <row r="95" spans="1:12" x14ac:dyDescent="0.25">
      <c r="A95" s="112" t="s">
        <v>101</v>
      </c>
      <c r="B95" s="72" t="s">
        <v>99</v>
      </c>
      <c r="C95" s="73"/>
      <c r="D95" s="73"/>
      <c r="E95" s="73"/>
      <c r="F95" s="73"/>
      <c r="G95" s="73"/>
      <c r="H95" s="73"/>
      <c r="I95" s="74"/>
    </row>
    <row r="96" spans="1:12" x14ac:dyDescent="0.25">
      <c r="A96" s="113"/>
      <c r="B96" s="75" t="s">
        <v>100</v>
      </c>
      <c r="C96" s="76"/>
      <c r="D96" s="76"/>
      <c r="E96" s="76"/>
      <c r="F96" s="76"/>
      <c r="G96" s="76"/>
      <c r="H96" s="76"/>
      <c r="I96" s="77"/>
    </row>
    <row r="97" spans="1:11" ht="15.75" thickBot="1" x14ac:dyDescent="0.3">
      <c r="A97" s="114"/>
      <c r="B97" s="78" t="s">
        <v>126</v>
      </c>
      <c r="C97" s="79"/>
      <c r="D97" s="79"/>
      <c r="E97" s="79"/>
      <c r="F97" s="79"/>
      <c r="G97" s="79"/>
      <c r="H97" s="79"/>
      <c r="I97" s="80"/>
    </row>
    <row r="99" spans="1:11" ht="15.75" thickBot="1" x14ac:dyDescent="0.3"/>
    <row r="100" spans="1:11" ht="15.75" thickBot="1" x14ac:dyDescent="0.3">
      <c r="B100" s="81" t="s">
        <v>10</v>
      </c>
      <c r="C100" s="82">
        <v>500</v>
      </c>
      <c r="D100" s="87" t="s">
        <v>5</v>
      </c>
      <c r="E100" s="88">
        <v>45.5</v>
      </c>
      <c r="G100" s="87" t="s">
        <v>1</v>
      </c>
      <c r="H100" s="95">
        <v>0.04</v>
      </c>
    </row>
    <row r="101" spans="1:11" x14ac:dyDescent="0.25">
      <c r="B101" s="83" t="s">
        <v>12</v>
      </c>
      <c r="C101" s="84">
        <v>-600</v>
      </c>
      <c r="D101" s="89" t="s">
        <v>13</v>
      </c>
      <c r="E101" s="91" t="s">
        <v>15</v>
      </c>
      <c r="F101" s="93">
        <v>45</v>
      </c>
      <c r="G101" s="89" t="s">
        <v>2</v>
      </c>
      <c r="H101" s="71">
        <v>0.25</v>
      </c>
    </row>
    <row r="102" spans="1:11" ht="15.75" thickBot="1" x14ac:dyDescent="0.3">
      <c r="B102" s="85" t="s">
        <v>11</v>
      </c>
      <c r="C102" s="86">
        <v>250</v>
      </c>
      <c r="D102" s="90" t="s">
        <v>14</v>
      </c>
      <c r="E102" s="92" t="s">
        <v>16</v>
      </c>
      <c r="F102" s="94">
        <v>46</v>
      </c>
      <c r="G102" s="90" t="s">
        <v>3</v>
      </c>
      <c r="H102" s="96">
        <v>0.2</v>
      </c>
    </row>
    <row r="104" spans="1:11" x14ac:dyDescent="0.25">
      <c r="E104" s="1" t="s">
        <v>102</v>
      </c>
      <c r="F104" s="1" t="s">
        <v>103</v>
      </c>
    </row>
    <row r="105" spans="1:11" ht="15.75" thickBot="1" x14ac:dyDescent="0.3">
      <c r="A105" t="s">
        <v>123</v>
      </c>
      <c r="D105" s="1" t="s">
        <v>4</v>
      </c>
      <c r="E105" s="16">
        <f>(LN(E100/F101)+(H100+H102*H102/2)*H101)/(H102*SQRT(H101))</f>
        <v>0.26049836186584935</v>
      </c>
      <c r="F105" s="16">
        <f>(LN(E100/F102)+(H100+H102*H102/2)*H101)/(H102*SQRT(H101))</f>
        <v>4.0709294678096843E-2</v>
      </c>
    </row>
    <row r="106" spans="1:11" ht="15.75" thickBot="1" x14ac:dyDescent="0.3">
      <c r="A106" t="s">
        <v>124</v>
      </c>
      <c r="D106" s="1" t="s">
        <v>6</v>
      </c>
      <c r="E106" s="16">
        <f>E105-H102*SQRT(H101)</f>
        <v>0.16049836186584934</v>
      </c>
      <c r="F106" s="16">
        <f>F105-H102*SQRT(H101)</f>
        <v>-5.9290705321903163E-2</v>
      </c>
      <c r="J106" s="115" t="s">
        <v>104</v>
      </c>
      <c r="K106" s="116"/>
    </row>
    <row r="107" spans="1:11" x14ac:dyDescent="0.25">
      <c r="A107" t="s">
        <v>125</v>
      </c>
      <c r="D107" s="97" t="s">
        <v>7</v>
      </c>
      <c r="E107" s="8">
        <v>0.38569999999999999</v>
      </c>
      <c r="F107" s="8">
        <v>0.39860000000000001</v>
      </c>
      <c r="G107" t="s">
        <v>105</v>
      </c>
      <c r="J107" s="99">
        <f>NORMDIST(E105,0,1,FALSE)</f>
        <v>0.38563334997084192</v>
      </c>
      <c r="K107" s="100">
        <f>NORMDIST(F105,0,1,FALSE)</f>
        <v>0.39861184444031922</v>
      </c>
    </row>
    <row r="108" spans="1:11" ht="15.75" thickBot="1" x14ac:dyDescent="0.3">
      <c r="D108" s="97" t="s">
        <v>8</v>
      </c>
      <c r="E108" s="8">
        <v>0.6028</v>
      </c>
      <c r="F108" s="8">
        <v>0.51619999999999999</v>
      </c>
      <c r="G108" t="s">
        <v>106</v>
      </c>
      <c r="J108" s="101">
        <f>NORMDIST(E105,0,1,TRUE)</f>
        <v>0.60276031062513036</v>
      </c>
      <c r="K108" s="102">
        <f>NORMDIST(F105,0,1,TRUE)</f>
        <v>0.51623617417099565</v>
      </c>
    </row>
    <row r="109" spans="1:11" ht="15.75" thickBot="1" x14ac:dyDescent="0.3">
      <c r="D109" s="97" t="s">
        <v>9</v>
      </c>
      <c r="E109" s="8">
        <v>0.56379999999999997</v>
      </c>
      <c r="F109" s="8">
        <v>0.47639999999999999</v>
      </c>
      <c r="J109" s="101">
        <f>NORMDIST(E106,0,1,TRUE)</f>
        <v>0.56375574402925133</v>
      </c>
      <c r="K109" s="102">
        <f>NORMDIST(F106,0,1,TRUE)</f>
        <v>0.47636028208543202</v>
      </c>
    </row>
    <row r="110" spans="1:11" x14ac:dyDescent="0.25">
      <c r="D110" s="97" t="s">
        <v>107</v>
      </c>
      <c r="E110" s="8">
        <f>E108</f>
        <v>0.6028</v>
      </c>
      <c r="F110" s="16">
        <f>F108-1</f>
        <v>-0.48380000000000001</v>
      </c>
    </row>
    <row r="111" spans="1:11" x14ac:dyDescent="0.25">
      <c r="D111" s="97" t="s">
        <v>108</v>
      </c>
      <c r="E111" s="16">
        <f>E107/(E100*H102*SQRT(H101))</f>
        <v>8.4769230769230763E-2</v>
      </c>
      <c r="F111" s="16">
        <f>F107/(H102*E100*SQRT(H101))</f>
        <v>8.7604395604395605E-2</v>
      </c>
    </row>
    <row r="112" spans="1:11" x14ac:dyDescent="0.25">
      <c r="D112" s="97" t="s">
        <v>112</v>
      </c>
      <c r="E112" s="98">
        <f>E100*E108-F101*EXP(-H100*H101)*E109</f>
        <v>2.3088456679498535</v>
      </c>
      <c r="F112" s="98">
        <f>F102*EXP(-H100*H101)*(1-F109)-E100*(1-F108)</f>
        <v>1.8330442757489678</v>
      </c>
    </row>
    <row r="113" spans="1:12" x14ac:dyDescent="0.25">
      <c r="D113" s="97"/>
    </row>
    <row r="114" spans="1:12" x14ac:dyDescent="0.25">
      <c r="A114" s="51" t="s">
        <v>109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</row>
    <row r="116" spans="1:12" x14ac:dyDescent="0.25">
      <c r="B116" s="97" t="s">
        <v>111</v>
      </c>
      <c r="C116" s="106">
        <f>C100*E100+C101*E112+C102*F112</f>
        <v>21822.953668167331</v>
      </c>
    </row>
    <row r="117" spans="1:12" x14ac:dyDescent="0.25">
      <c r="B117" s="15" t="s">
        <v>110</v>
      </c>
      <c r="C117" s="20">
        <f>C100*1+C101*E110+C102*F110</f>
        <v>17.36999999999999</v>
      </c>
    </row>
    <row r="118" spans="1:12" x14ac:dyDescent="0.25">
      <c r="B118" s="15" t="s">
        <v>113</v>
      </c>
      <c r="C118" s="12">
        <f>C100*0+C101*E111+C102*F111</f>
        <v>-28.960439560439557</v>
      </c>
    </row>
    <row r="120" spans="1:12" x14ac:dyDescent="0.25">
      <c r="A120" s="51" t="s">
        <v>114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2" spans="1:12" x14ac:dyDescent="0.25">
      <c r="B122" t="s">
        <v>115</v>
      </c>
      <c r="H122" t="s">
        <v>119</v>
      </c>
    </row>
    <row r="123" spans="1:12" x14ac:dyDescent="0.25">
      <c r="C123" t="s">
        <v>116</v>
      </c>
      <c r="E123" s="17">
        <f>-C118/E111</f>
        <v>341.63857920663725</v>
      </c>
      <c r="G123" s="15" t="s">
        <v>113</v>
      </c>
      <c r="H123" s="11">
        <f>(C101+E123)*E111+C102*F111</f>
        <v>0</v>
      </c>
    </row>
    <row r="124" spans="1:12" x14ac:dyDescent="0.25">
      <c r="E124" s="17"/>
    </row>
    <row r="125" spans="1:12" x14ac:dyDescent="0.25">
      <c r="B125" t="s">
        <v>117</v>
      </c>
      <c r="E125" s="17"/>
    </row>
    <row r="126" spans="1:12" x14ac:dyDescent="0.25">
      <c r="C126" t="s">
        <v>118</v>
      </c>
      <c r="E126" s="17">
        <f>-(C117+E123*E110)</f>
        <v>-223.30973554576093</v>
      </c>
      <c r="G126" s="15" t="s">
        <v>110</v>
      </c>
      <c r="H126" s="11">
        <f>(C100+E126)*1+(C101+E123)*E110+C102*F110</f>
        <v>0</v>
      </c>
    </row>
    <row r="128" spans="1:12" ht="15.75" thickBot="1" x14ac:dyDescent="0.3">
      <c r="C128" s="61" t="s">
        <v>120</v>
      </c>
      <c r="D128" s="61" t="s">
        <v>121</v>
      </c>
    </row>
    <row r="129" spans="2:8" x14ac:dyDescent="0.25">
      <c r="B129" s="103" t="s">
        <v>10</v>
      </c>
      <c r="C129" s="82">
        <v>500</v>
      </c>
      <c r="D129" s="4">
        <f>C129+E126</f>
        <v>276.69026445423907</v>
      </c>
      <c r="G129" s="97" t="s">
        <v>111</v>
      </c>
      <c r="H129" s="18">
        <f>D129*E100+D130*E112+D131*F112</f>
        <v>12451.151454440995</v>
      </c>
    </row>
    <row r="130" spans="2:8" x14ac:dyDescent="0.25">
      <c r="B130" s="104" t="s">
        <v>12</v>
      </c>
      <c r="C130" s="84">
        <v>-600</v>
      </c>
      <c r="D130" s="4">
        <f>C130+E123</f>
        <v>-258.36142079336275</v>
      </c>
    </row>
    <row r="131" spans="2:8" ht="15.75" thickBot="1" x14ac:dyDescent="0.3">
      <c r="B131" s="105" t="s">
        <v>11</v>
      </c>
      <c r="C131" s="86">
        <v>250</v>
      </c>
      <c r="D131" s="4">
        <f>C131</f>
        <v>250</v>
      </c>
    </row>
  </sheetData>
  <mergeCells count="5">
    <mergeCell ref="B3:L3"/>
    <mergeCell ref="B59:L59"/>
    <mergeCell ref="A95:A97"/>
    <mergeCell ref="J106:K106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Corrigé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FRANCOIS-HEUDE</dc:creator>
  <cp:lastModifiedBy>AFH</cp:lastModifiedBy>
  <dcterms:created xsi:type="dcterms:W3CDTF">2011-11-29T22:08:13Z</dcterms:created>
  <dcterms:modified xsi:type="dcterms:W3CDTF">2014-11-12T18:31:20Z</dcterms:modified>
</cp:coreProperties>
</file>