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Solution" sheetId="2" r:id="rId1"/>
  </sheets>
  <calcPr calcId="145621"/>
</workbook>
</file>

<file path=xl/calcChain.xml><?xml version="1.0" encoding="utf-8"?>
<calcChain xmlns="http://schemas.openxmlformats.org/spreadsheetml/2006/main">
  <c r="N6" i="2" l="1"/>
  <c r="N11" i="2" s="1"/>
  <c r="N13" i="2" l="1"/>
  <c r="N16" i="2" s="1"/>
  <c r="N12" i="2"/>
  <c r="N14" i="2" s="1"/>
  <c r="D99" i="2"/>
  <c r="D106" i="2"/>
  <c r="C106" i="2"/>
  <c r="D130" i="2"/>
  <c r="D120" i="2"/>
  <c r="F99" i="2"/>
  <c r="F108" i="2" s="1"/>
  <c r="E130" i="2" s="1"/>
  <c r="D97" i="2"/>
  <c r="E85" i="2"/>
  <c r="D85" i="2"/>
  <c r="I82" i="2"/>
  <c r="I85" i="2" s="1"/>
  <c r="H82" i="2"/>
  <c r="H85" i="2" s="1"/>
  <c r="I69" i="2"/>
  <c r="I70" i="2"/>
  <c r="I68" i="2"/>
  <c r="D69" i="2"/>
  <c r="H69" i="2" s="1"/>
  <c r="D68" i="2"/>
  <c r="E30" i="2"/>
  <c r="E33" i="2" s="1"/>
  <c r="E50" i="2" s="1"/>
  <c r="E51" i="2" s="1"/>
  <c r="O40" i="2"/>
  <c r="P40" i="2" s="1"/>
  <c r="O51" i="2"/>
  <c r="P51" i="2" s="1"/>
  <c r="O52" i="2"/>
  <c r="P52" i="2" s="1"/>
  <c r="O53" i="2"/>
  <c r="P53" i="2" s="1"/>
  <c r="O54" i="2"/>
  <c r="P54" i="2" s="1"/>
  <c r="O41" i="2"/>
  <c r="P41" i="2" s="1"/>
  <c r="O42" i="2"/>
  <c r="P42" i="2" s="1"/>
  <c r="O43" i="2"/>
  <c r="P43" i="2" s="1"/>
  <c r="O44" i="2"/>
  <c r="P44" i="2" s="1"/>
  <c r="O45" i="2"/>
  <c r="P45" i="2" s="1"/>
  <c r="O46" i="2"/>
  <c r="P46" i="2" s="1"/>
  <c r="O47" i="2"/>
  <c r="P47" i="2" s="1"/>
  <c r="O48" i="2"/>
  <c r="P48" i="2" s="1"/>
  <c r="O49" i="2"/>
  <c r="P49" i="2" s="1"/>
  <c r="O50" i="2"/>
  <c r="P50" i="2" s="1"/>
  <c r="E46" i="2"/>
  <c r="C39" i="2"/>
  <c r="H51" i="2" s="1"/>
  <c r="E17" i="2"/>
  <c r="H16" i="2" s="1"/>
  <c r="D132" i="2" l="1"/>
  <c r="D70" i="2"/>
  <c r="D73" i="2" s="1"/>
  <c r="F107" i="2"/>
  <c r="C130" i="2" s="1"/>
  <c r="D107" i="2"/>
  <c r="F100" i="2"/>
  <c r="F104" i="2" s="1"/>
  <c r="F101" i="2"/>
  <c r="F103" i="2"/>
  <c r="H70" i="2"/>
  <c r="H50" i="2"/>
  <c r="O56" i="2"/>
  <c r="P56" i="2"/>
  <c r="H20" i="2"/>
  <c r="H18" i="2"/>
  <c r="H17" i="2"/>
  <c r="C132" i="2" l="1"/>
  <c r="F77" i="2"/>
  <c r="C115" i="2"/>
  <c r="C120" i="2" s="1"/>
  <c r="I107" i="2"/>
  <c r="F106" i="2"/>
  <c r="B132" i="2" s="1"/>
  <c r="D101" i="2"/>
  <c r="D103" i="2"/>
  <c r="F102" i="2"/>
  <c r="D100" i="2"/>
  <c r="D102" i="2" s="1"/>
  <c r="D108" i="2"/>
  <c r="D115" i="2" s="1"/>
  <c r="D122" i="2" s="1"/>
  <c r="H19" i="2"/>
  <c r="H21" i="2"/>
  <c r="E21" i="2" s="1"/>
  <c r="C122" i="2" l="1"/>
  <c r="B122" i="2"/>
  <c r="D104" i="2"/>
  <c r="I106" i="2" l="1"/>
  <c r="B115" i="2"/>
</calcChain>
</file>

<file path=xl/sharedStrings.xml><?xml version="1.0" encoding="utf-8"?>
<sst xmlns="http://schemas.openxmlformats.org/spreadsheetml/2006/main" count="145" uniqueCount="109">
  <si>
    <t>MARCHE</t>
  </si>
  <si>
    <t>prix en 0</t>
  </si>
  <si>
    <t>prix d'Exercice</t>
  </si>
  <si>
    <t>taux d'intérêt/an</t>
  </si>
  <si>
    <t>volatilité/an</t>
  </si>
  <si>
    <t>écheance (en année)</t>
  </si>
  <si>
    <t>d1</t>
  </si>
  <si>
    <t>d2</t>
  </si>
  <si>
    <t>f(d1)</t>
  </si>
  <si>
    <t>f(d2)</t>
  </si>
  <si>
    <t>N(d1)</t>
  </si>
  <si>
    <t>N(d2)</t>
  </si>
  <si>
    <t>Valeur</t>
  </si>
  <si>
    <t>Delta</t>
  </si>
  <si>
    <t>Gamma</t>
  </si>
  <si>
    <t>Quantité détenue</t>
  </si>
  <si>
    <t>CALL</t>
  </si>
  <si>
    <t>TITRE</t>
  </si>
  <si>
    <t xml:space="preserve"> PUT</t>
  </si>
  <si>
    <t>Un Call et un Put ont la même valeur, le même prix d’exercice et le même sous-jacent.</t>
  </si>
  <si>
    <t xml:space="preserve"> une échéance (τ) est de 0,25 an, une volatilité (σ) de 20% an. et le taux d’intérêt est de 4%.</t>
  </si>
  <si>
    <r>
      <t>Q1</t>
    </r>
    <r>
      <rPr>
        <b/>
        <sz val="10"/>
        <color theme="1"/>
        <rFont val="Times New Roman"/>
        <family val="1"/>
      </rPr>
      <t> :  Exprimer simplement  la valeur du sous-jacent (S) en fonction des autres paramètres.</t>
    </r>
  </si>
  <si>
    <r>
      <t>Q2</t>
    </r>
    <r>
      <rPr>
        <b/>
        <sz val="10"/>
        <color theme="1"/>
        <rFont val="Times New Roman"/>
        <family val="1"/>
      </rPr>
      <t> : Donner la valeur des options si E = 61€</t>
    </r>
  </si>
  <si>
    <t>maturité</t>
  </si>
  <si>
    <t>volatilité</t>
  </si>
  <si>
    <t>taux intérêt</t>
  </si>
  <si>
    <t>Strike E</t>
  </si>
  <si>
    <r>
      <t>Valeur de S = Ee</t>
    </r>
    <r>
      <rPr>
        <vertAlign val="superscript"/>
        <sz val="11"/>
        <color theme="1"/>
        <rFont val="Calibri"/>
        <family val="2"/>
        <scheme val="minor"/>
      </rPr>
      <t>-rt</t>
    </r>
  </si>
  <si>
    <t>Valeur CALL et PUT</t>
  </si>
  <si>
    <t>Q3  : Donner la valeur de marché du portefeuille</t>
  </si>
  <si>
    <t xml:space="preserve">Q4  : Quelle est la duration (au sens de Macaulay) de ce  portefeuille et quelle sera la plus ou moins-value (en %) en cas de </t>
  </si>
  <si>
    <t xml:space="preserve">         hausse de 0,40% des taux de marché</t>
  </si>
  <si>
    <t xml:space="preserve">Un portefeuille est composé d’obligations émises par l’Etat français (OAT = Obligations Assimilables du Trésor) pour une valeur nominale de  500 000€. </t>
  </si>
  <si>
    <t>Les caractéristiques de l’OAT sont : échéance = 15 ans, taux de coupon = 4%, taux de rendement actuariel = 3,60%.</t>
  </si>
  <si>
    <t>maturité (n)</t>
  </si>
  <si>
    <t>taux coupon (i )</t>
  </si>
  <si>
    <t>Taux rendement</t>
  </si>
  <si>
    <t>Nominal</t>
  </si>
  <si>
    <t>Valeur OAT</t>
  </si>
  <si>
    <t>Valeur Portefeuille</t>
  </si>
  <si>
    <r>
      <t>V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Nominal</t>
    </r>
  </si>
  <si>
    <t>Exo 1</t>
  </si>
  <si>
    <t>Exo 2</t>
  </si>
  <si>
    <t>Duration</t>
  </si>
  <si>
    <t xml:space="preserve"> années</t>
  </si>
  <si>
    <t>+/- Value</t>
  </si>
  <si>
    <r>
      <t xml:space="preserve">Nouveau Taux = r + </t>
    </r>
    <r>
      <rPr>
        <sz val="11"/>
        <color theme="1"/>
        <rFont val="Calibri"/>
        <family val="2"/>
      </rPr>
      <t>Δr</t>
    </r>
  </si>
  <si>
    <t>Variation de taux  Δr</t>
  </si>
  <si>
    <t>r' = i ==&gt;  Vo = 100%</t>
  </si>
  <si>
    <t>+/- Value du Portefeuille</t>
  </si>
  <si>
    <t>+/- Value % du Portef.</t>
  </si>
  <si>
    <t>Autre Calcul</t>
  </si>
  <si>
    <t>Flux</t>
  </si>
  <si>
    <t>Flux actua</t>
  </si>
  <si>
    <t>j * Flx Actu</t>
  </si>
  <si>
    <t>OU encore</t>
  </si>
  <si>
    <t xml:space="preserve"> '= - D * ( Δr/(1+r))</t>
  </si>
  <si>
    <t>avec la Durati</t>
  </si>
  <si>
    <t>Sur les marchés de Londres, vous observez les éléments suivants :</t>
  </si>
  <si>
    <t xml:space="preserve">              Offert  -  Demandé           </t>
  </si>
  <si>
    <t>USD-GBP      Fwd 6 mth</t>
  </si>
  <si>
    <t xml:space="preserve">  </t>
  </si>
  <si>
    <t xml:space="preserve">United States   </t>
  </si>
  <si>
    <t xml:space="preserve">USD-EUR      Fwd 6 mth       </t>
  </si>
  <si>
    <t>Great Britain</t>
  </si>
  <si>
    <t>Euro. Union</t>
  </si>
  <si>
    <t>Exo 3</t>
  </si>
  <si>
    <t>BID</t>
  </si>
  <si>
    <t>ASK</t>
  </si>
  <si>
    <r>
      <t>Q5</t>
    </r>
    <r>
      <rPr>
        <b/>
        <sz val="10"/>
        <color theme="1"/>
        <rFont val="Times New Roman"/>
        <family val="1"/>
      </rPr>
      <t> : Donner le change EUR-GBP en spot et en Forward à 6 mois  avec un change pivot ( MID)</t>
    </r>
  </si>
  <si>
    <t>USD-GBP Fwd</t>
  </si>
  <si>
    <t xml:space="preserve">USD-EUR  Fwd      </t>
  </si>
  <si>
    <t xml:space="preserve">EUR-USD  Fwd   </t>
  </si>
  <si>
    <t xml:space="preserve">EUR-GBP  Fwd       </t>
  </si>
  <si>
    <t>Change MID</t>
  </si>
  <si>
    <t>Taux MID</t>
  </si>
  <si>
    <t xml:space="preserve">EUR-GBP  Spot    </t>
  </si>
  <si>
    <t>Durée (jours)</t>
  </si>
  <si>
    <r>
      <t>Q6</t>
    </r>
    <r>
      <rPr>
        <b/>
        <sz val="10"/>
        <color theme="1"/>
        <rFont val="Times New Roman"/>
        <family val="1"/>
      </rPr>
      <t> : Calculer le change GBP-EUR en Forward à 6 mois en BID-ASK</t>
    </r>
  </si>
  <si>
    <t xml:space="preserve">GBP-USD  Fwd   </t>
  </si>
  <si>
    <t xml:space="preserve">GBP-EUR  Fwd 6m    </t>
  </si>
  <si>
    <t>l'€ est en déport sur la £</t>
  </si>
  <si>
    <t xml:space="preserve">GBP-EUR  Fwd    </t>
  </si>
  <si>
    <t xml:space="preserve"> en MID</t>
  </si>
  <si>
    <t xml:space="preserve">Un Put est dérivé d’un actif financier dont la valeur actuelle est de 65,30€. L’échéance (τ) est de 0,25 an, le taux d’intérêt (r) de 3% l’an et </t>
  </si>
  <si>
    <t>la volatilité (σ) de 22% an. Le prix d’exercice (E) est de 64€, le gamma ( Γ ) du Put = 0,0530</t>
  </si>
  <si>
    <r>
      <t>Q7</t>
    </r>
    <r>
      <rPr>
        <b/>
        <sz val="10"/>
        <color theme="1"/>
        <rFont val="Times New Roman"/>
        <family val="1"/>
      </rPr>
      <t> :  Donner le prix et  le Delta du Put</t>
    </r>
  </si>
  <si>
    <t>Exo 4</t>
  </si>
  <si>
    <t>PUT</t>
  </si>
  <si>
    <r>
      <t>Q8</t>
    </r>
    <r>
      <rPr>
        <b/>
        <sz val="10"/>
        <color theme="1"/>
        <rFont val="Times New Roman"/>
        <family val="1"/>
      </rPr>
      <t> : Pour un portefeuille composé de 100 Put achetés, préciser la valeur, le delta (Δ) et le gamma ( Γ ) du portefeuille.</t>
    </r>
  </si>
  <si>
    <t>Delta PUT</t>
  </si>
  <si>
    <t xml:space="preserve">Portefeuille </t>
  </si>
  <si>
    <r>
      <t>Q9</t>
    </r>
    <r>
      <rPr>
        <b/>
        <sz val="10"/>
        <color theme="1"/>
        <rFont val="Times New Roman"/>
        <family val="1"/>
      </rPr>
      <t> : Donner le nombre de titres sous- jacents que rend le portefeuille delta (Δ) neutre.</t>
    </r>
  </si>
  <si>
    <r>
      <t>Q10</t>
    </r>
    <r>
      <rPr>
        <b/>
        <sz val="10"/>
        <color theme="1"/>
        <rFont val="Times New Roman"/>
        <family val="1"/>
      </rPr>
      <t xml:space="preserve"> : Un CALL (C=5,76€, E=61€) est utilisé pour rendre le portefeuille delta (Δ) et gamma ( Γ ) neutres. Préciser la </t>
    </r>
  </si>
  <si>
    <r>
      <t xml:space="preserve">       </t>
    </r>
    <r>
      <rPr>
        <b/>
        <sz val="10"/>
        <color theme="1"/>
        <rFont val="Times New Roman"/>
        <family val="1"/>
      </rPr>
      <t>composition du portefeuille (nombre de titres, de call et de put détenus).</t>
    </r>
  </si>
  <si>
    <t>avec CALL</t>
  </si>
  <si>
    <t>Portefeuille</t>
  </si>
  <si>
    <t>pour le CALL ==&gt;   - Gamma (Portefeuille) / Gamma (Call)</t>
  </si>
  <si>
    <t>pour le titre ==&gt;  - Qté (Call ) * Delta (Call)</t>
  </si>
  <si>
    <t>Examen N°2    IAE Master 2 MASS      Gestion Financière des Risques</t>
  </si>
  <si>
    <t>Pr. Alain FRANCOIS-HEUDE       2012-2013</t>
  </si>
  <si>
    <t>A partir du gamma du Put, on obtient f(d1)</t>
  </si>
  <si>
    <r>
      <t xml:space="preserve">f(d1) = Gamma * S * </t>
    </r>
    <r>
      <rPr>
        <sz val="11"/>
        <color theme="1"/>
        <rFont val="Calibri"/>
        <family val="2"/>
      </rPr>
      <t>σ * racine(τ)</t>
    </r>
  </si>
  <si>
    <t xml:space="preserve"> Les OAT sont à Remboursement IN FINE</t>
  </si>
  <si>
    <t>Sous jacent S</t>
  </si>
  <si>
    <t>Taux r</t>
  </si>
  <si>
    <t>Volat Sigma</t>
  </si>
  <si>
    <t>Maturité T</t>
  </si>
  <si>
    <t>Prix du Call/S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</si>
</sst>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0.0000"/>
    <numFmt numFmtId="166" formatCode="0.0"/>
    <numFmt numFmtId="167" formatCode="0.000000"/>
    <numFmt numFmtId="168" formatCode="0.000"/>
    <numFmt numFmtId="169" formatCode="0.000%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5">
    <xf numFmtId="0" fontId="0" fillId="0" borderId="0" xfId="0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9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9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/>
    <xf numFmtId="2" fontId="1" fillId="3" borderId="4" xfId="0" applyNumberFormat="1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3" fillId="0" borderId="0" xfId="0" applyFont="1" applyAlignment="1">
      <alignment vertical="center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5" borderId="0" xfId="0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7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5" fillId="6" borderId="7" xfId="0" applyNumberFormat="1" applyFont="1" applyFill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5" fillId="6" borderId="7" xfId="1" applyNumberFormat="1" applyFont="1" applyFill="1" applyBorder="1" applyAlignment="1">
      <alignment horizontal="center"/>
    </xf>
    <xf numFmtId="2" fontId="5" fillId="6" borderId="7" xfId="1" applyNumberFormat="1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 vertical="center"/>
    </xf>
    <xf numFmtId="0" fontId="5" fillId="5" borderId="0" xfId="0" applyFont="1" applyFill="1"/>
    <xf numFmtId="0" fontId="0" fillId="0" borderId="0" xfId="0" quotePrefix="1"/>
    <xf numFmtId="10" fontId="0" fillId="0" borderId="0" xfId="1" applyNumberFormat="1" applyFont="1"/>
    <xf numFmtId="0" fontId="0" fillId="7" borderId="0" xfId="0" applyFill="1"/>
    <xf numFmtId="0" fontId="0" fillId="8" borderId="0" xfId="0" applyFill="1"/>
    <xf numFmtId="0" fontId="11" fillId="8" borderId="0" xfId="0" quotePrefix="1" applyFont="1" applyFill="1"/>
    <xf numFmtId="0" fontId="11" fillId="8" borderId="0" xfId="0" applyFont="1" applyFill="1"/>
    <xf numFmtId="165" fontId="0" fillId="6" borderId="8" xfId="0" applyNumberFormat="1" applyFill="1" applyBorder="1"/>
    <xf numFmtId="0" fontId="0" fillId="6" borderId="9" xfId="0" applyFill="1" applyBorder="1"/>
    <xf numFmtId="3" fontId="5" fillId="6" borderId="7" xfId="0" applyNumberFormat="1" applyFont="1" applyFill="1" applyBorder="1"/>
    <xf numFmtId="165" fontId="5" fillId="6" borderId="7" xfId="0" applyNumberFormat="1" applyFont="1" applyFill="1" applyBorder="1"/>
    <xf numFmtId="0" fontId="11" fillId="0" borderId="0" xfId="0" applyFont="1"/>
    <xf numFmtId="1" fontId="0" fillId="0" borderId="0" xfId="0" applyNumberFormat="1"/>
    <xf numFmtId="10" fontId="5" fillId="6" borderId="7" xfId="1" applyNumberFormat="1" applyFont="1" applyFill="1" applyBorder="1"/>
    <xf numFmtId="0" fontId="5" fillId="0" borderId="0" xfId="0" applyFont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10" fontId="3" fillId="5" borderId="0" xfId="0" applyNumberFormat="1" applyFont="1" applyFill="1" applyAlignment="1">
      <alignment vertical="center"/>
    </xf>
    <xf numFmtId="10" fontId="0" fillId="5" borderId="0" xfId="0" applyNumberFormat="1" applyFill="1"/>
    <xf numFmtId="0" fontId="6" fillId="0" borderId="0" xfId="0" applyFont="1" applyFill="1" applyAlignment="1">
      <alignment vertical="center"/>
    </xf>
    <xf numFmtId="164" fontId="5" fillId="6" borderId="7" xfId="0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65" fontId="5" fillId="6" borderId="8" xfId="0" applyNumberFormat="1" applyFont="1" applyFill="1" applyBorder="1" applyAlignment="1">
      <alignment horizontal="center"/>
    </xf>
    <xf numFmtId="165" fontId="5" fillId="6" borderId="9" xfId="0" applyNumberFormat="1" applyFont="1" applyFill="1" applyBorder="1" applyAlignment="1">
      <alignment horizontal="center"/>
    </xf>
    <xf numFmtId="165" fontId="5" fillId="6" borderId="8" xfId="0" applyNumberFormat="1" applyFont="1" applyFill="1" applyBorder="1"/>
    <xf numFmtId="165" fontId="5" fillId="6" borderId="9" xfId="0" applyNumberFormat="1" applyFont="1" applyFill="1" applyBorder="1"/>
    <xf numFmtId="165" fontId="0" fillId="0" borderId="7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7" borderId="0" xfId="0" applyFont="1" applyFill="1"/>
    <xf numFmtId="168" fontId="5" fillId="6" borderId="7" xfId="0" applyNumberFormat="1" applyFont="1" applyFill="1" applyBorder="1" applyAlignment="1">
      <alignment horizontal="center"/>
    </xf>
    <xf numFmtId="166" fontId="5" fillId="6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2" fontId="0" fillId="0" borderId="1" xfId="0" applyNumberFormat="1" applyFill="1" applyBorder="1" applyAlignment="1">
      <alignment horizontal="center"/>
    </xf>
    <xf numFmtId="166" fontId="1" fillId="6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6" fontId="5" fillId="6" borderId="7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3" xfId="0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0" fontId="0" fillId="0" borderId="10" xfId="0" applyBorder="1"/>
    <xf numFmtId="0" fontId="5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0" fillId="0" borderId="14" xfId="0" applyBorder="1"/>
    <xf numFmtId="0" fontId="0" fillId="0" borderId="15" xfId="0" applyBorder="1"/>
    <xf numFmtId="0" fontId="7" fillId="8" borderId="0" xfId="0" applyFont="1" applyFill="1" applyAlignment="1">
      <alignment vertical="center"/>
    </xf>
    <xf numFmtId="0" fontId="0" fillId="0" borderId="16" xfId="0" applyBorder="1"/>
    <xf numFmtId="165" fontId="0" fillId="0" borderId="17" xfId="0" applyNumberFormat="1" applyBorder="1"/>
    <xf numFmtId="9" fontId="0" fillId="0" borderId="17" xfId="0" applyNumberFormat="1" applyBorder="1"/>
    <xf numFmtId="0" fontId="0" fillId="0" borderId="17" xfId="0" applyBorder="1"/>
    <xf numFmtId="0" fontId="0" fillId="0" borderId="16" xfId="0" applyBorder="1" applyAlignment="1">
      <alignment horizontal="right"/>
    </xf>
    <xf numFmtId="168" fontId="0" fillId="0" borderId="17" xfId="0" applyNumberFormat="1" applyBorder="1"/>
    <xf numFmtId="169" fontId="5" fillId="6" borderId="9" xfId="1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6</xdr:col>
          <xdr:colOff>581025</xdr:colOff>
          <xdr:row>12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10</xdr:col>
          <xdr:colOff>257175</xdr:colOff>
          <xdr:row>33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38</xdr:row>
          <xdr:rowOff>0</xdr:rowOff>
        </xdr:from>
        <xdr:to>
          <xdr:col>10</xdr:col>
          <xdr:colOff>247650</xdr:colOff>
          <xdr:row>41</xdr:row>
          <xdr:rowOff>133350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71</xdr:row>
          <xdr:rowOff>57150</xdr:rowOff>
        </xdr:from>
        <xdr:to>
          <xdr:col>9</xdr:col>
          <xdr:colOff>552450</xdr:colOff>
          <xdr:row>74</xdr:row>
          <xdr:rowOff>123825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3"/>
  <sheetViews>
    <sheetView tabSelected="1" workbookViewId="0">
      <selection activeCell="N20" sqref="N20"/>
    </sheetView>
  </sheetViews>
  <sheetFormatPr baseColWidth="10" defaultRowHeight="15" x14ac:dyDescent="0.25"/>
  <cols>
    <col min="1" max="1" width="6.42578125" customWidth="1"/>
    <col min="2" max="2" width="15.5703125" customWidth="1"/>
    <col min="5" max="5" width="14.140625" bestFit="1" customWidth="1"/>
    <col min="7" max="7" width="12.7109375" customWidth="1"/>
    <col min="12" max="12" width="4.140625" customWidth="1"/>
    <col min="13" max="13" width="15.5703125" customWidth="1"/>
    <col min="15" max="15" width="10" customWidth="1"/>
  </cols>
  <sheetData>
    <row r="1" spans="1:14" x14ac:dyDescent="0.25">
      <c r="A1" s="88"/>
      <c r="B1" s="89" t="s">
        <v>99</v>
      </c>
      <c r="C1" s="89"/>
      <c r="D1" s="89"/>
      <c r="E1" s="90"/>
      <c r="F1" s="91"/>
    </row>
    <row r="2" spans="1:14" ht="15.75" thickBot="1" x14ac:dyDescent="0.3">
      <c r="A2" s="92"/>
      <c r="B2" s="93" t="s">
        <v>100</v>
      </c>
      <c r="C2" s="93"/>
      <c r="D2" s="93"/>
      <c r="E2" s="94"/>
      <c r="F2" s="95"/>
    </row>
    <row r="3" spans="1:14" ht="15.75" thickBot="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4" ht="15.75" thickBot="1" x14ac:dyDescent="0.3">
      <c r="A4" s="38" t="s">
        <v>41</v>
      </c>
      <c r="L4" s="42"/>
    </row>
    <row r="5" spans="1:14" x14ac:dyDescent="0.25">
      <c r="B5" s="28" t="s">
        <v>19</v>
      </c>
      <c r="C5" s="27"/>
      <c r="D5" s="27"/>
      <c r="E5" s="27"/>
      <c r="F5" s="27"/>
      <c r="G5" s="27"/>
      <c r="H5" s="27"/>
      <c r="L5" s="42"/>
      <c r="M5" s="88" t="s">
        <v>104</v>
      </c>
      <c r="N5" s="91">
        <v>1</v>
      </c>
    </row>
    <row r="6" spans="1:14" x14ac:dyDescent="0.25">
      <c r="B6" s="28" t="s">
        <v>20</v>
      </c>
      <c r="C6" s="27"/>
      <c r="D6" s="27"/>
      <c r="E6" s="27"/>
      <c r="F6" s="27"/>
      <c r="G6" s="27"/>
      <c r="H6" s="27"/>
      <c r="L6" s="42"/>
      <c r="M6" s="97" t="s">
        <v>26</v>
      </c>
      <c r="N6" s="98">
        <f>N5*EXP(-N7*N9)</f>
        <v>0.99004983374916811</v>
      </c>
    </row>
    <row r="7" spans="1:14" x14ac:dyDescent="0.25">
      <c r="B7" s="29" t="s">
        <v>21</v>
      </c>
      <c r="C7" s="27"/>
      <c r="D7" s="27"/>
      <c r="E7" s="27"/>
      <c r="F7" s="27"/>
      <c r="G7" s="27"/>
      <c r="H7" s="27"/>
      <c r="L7" s="42"/>
      <c r="M7" s="97" t="s">
        <v>105</v>
      </c>
      <c r="N7" s="99">
        <v>0.04</v>
      </c>
    </row>
    <row r="8" spans="1:14" x14ac:dyDescent="0.25">
      <c r="L8" s="42"/>
      <c r="M8" s="97" t="s">
        <v>106</v>
      </c>
      <c r="N8" s="99">
        <v>0.2</v>
      </c>
    </row>
    <row r="9" spans="1:14" x14ac:dyDescent="0.25">
      <c r="L9" s="42"/>
      <c r="M9" s="97" t="s">
        <v>107</v>
      </c>
      <c r="N9" s="100">
        <v>0.25</v>
      </c>
    </row>
    <row r="10" spans="1:14" x14ac:dyDescent="0.25">
      <c r="L10" s="42"/>
      <c r="M10" s="97"/>
      <c r="N10" s="100"/>
    </row>
    <row r="11" spans="1:14" x14ac:dyDescent="0.25">
      <c r="L11" s="42"/>
      <c r="M11" s="101" t="s">
        <v>6</v>
      </c>
      <c r="N11" s="102">
        <f>(LN(N5/N6)+(N7+N8*N8/2)*N9)/(N8*SQRT(N9))</f>
        <v>0.24999999999999892</v>
      </c>
    </row>
    <row r="12" spans="1:14" x14ac:dyDescent="0.25">
      <c r="L12" s="42"/>
      <c r="M12" s="101" t="s">
        <v>7</v>
      </c>
      <c r="N12" s="100">
        <f>N11-N8*SQRT(N9)</f>
        <v>0.14999999999999891</v>
      </c>
    </row>
    <row r="13" spans="1:14" x14ac:dyDescent="0.25">
      <c r="L13" s="42"/>
      <c r="M13" s="101" t="s">
        <v>10</v>
      </c>
      <c r="N13" s="98">
        <f>NORMDIST(N11,0,1,TRUE)</f>
        <v>0.59870632568292326</v>
      </c>
    </row>
    <row r="14" spans="1:14" x14ac:dyDescent="0.25">
      <c r="B14" s="29" t="s">
        <v>22</v>
      </c>
      <c r="C14" s="27"/>
      <c r="D14" s="27"/>
      <c r="E14" s="27"/>
      <c r="F14" s="27"/>
      <c r="G14" s="27"/>
      <c r="H14" s="27"/>
      <c r="L14" s="42"/>
      <c r="M14" s="101" t="s">
        <v>11</v>
      </c>
      <c r="N14" s="98">
        <f>NORMDIST(N12,0,1,TRUE)</f>
        <v>0.55961769237024206</v>
      </c>
    </row>
    <row r="15" spans="1:14" ht="15.75" thickBot="1" x14ac:dyDescent="0.3">
      <c r="L15" s="42"/>
      <c r="M15" s="97"/>
      <c r="N15" s="100"/>
    </row>
    <row r="16" spans="1:14" ht="18" thickBot="1" x14ac:dyDescent="0.3">
      <c r="B16" t="s">
        <v>23</v>
      </c>
      <c r="C16">
        <v>0.25</v>
      </c>
      <c r="E16" t="s">
        <v>27</v>
      </c>
      <c r="G16" s="9" t="s">
        <v>6</v>
      </c>
      <c r="H16" s="31">
        <f>((LN(E17/C19)+(C18+C17*C17/2)*C16)/(C17*SQRT(C16)))</f>
        <v>5.0000000000000544E-2</v>
      </c>
      <c r="L16" s="42"/>
      <c r="M16" s="104" t="s">
        <v>108</v>
      </c>
      <c r="N16" s="103">
        <f>N5*N13-N6*EXP(-N7*N9)*N14</f>
        <v>5.0169806062624001E-2</v>
      </c>
    </row>
    <row r="17" spans="1:12" ht="15.75" thickBot="1" x14ac:dyDescent="0.3">
      <c r="B17" t="s">
        <v>24</v>
      </c>
      <c r="C17" s="8">
        <v>0.2</v>
      </c>
      <c r="E17" s="33">
        <f>C19*EXP(-C18*C16)</f>
        <v>60.393039858699254</v>
      </c>
      <c r="G17" s="9" t="s">
        <v>7</v>
      </c>
      <c r="H17" s="31">
        <f>H16-C17*SQRT(C16)</f>
        <v>-4.9999999999999462E-2</v>
      </c>
      <c r="L17" s="42"/>
    </row>
    <row r="18" spans="1:12" x14ac:dyDescent="0.25">
      <c r="B18" t="s">
        <v>25</v>
      </c>
      <c r="C18" s="8">
        <v>0.04</v>
      </c>
      <c r="G18" s="9" t="s">
        <v>8</v>
      </c>
      <c r="H18" s="30">
        <f>NORMDIST(H16,0,1,FALSE)</f>
        <v>0.39844391409476398</v>
      </c>
      <c r="L18" s="42"/>
    </row>
    <row r="19" spans="1:12" x14ac:dyDescent="0.25">
      <c r="B19" t="s">
        <v>26</v>
      </c>
      <c r="C19">
        <v>61</v>
      </c>
      <c r="G19" s="9" t="s">
        <v>9</v>
      </c>
      <c r="H19" s="30">
        <f t="shared" ref="H19" si="0">NORMDIST(H17,0,1,FALSE)</f>
        <v>0.39844391409476404</v>
      </c>
      <c r="L19" s="42"/>
    </row>
    <row r="20" spans="1:12" ht="15.75" thickBot="1" x14ac:dyDescent="0.3">
      <c r="E20" t="s">
        <v>28</v>
      </c>
      <c r="G20" s="9" t="s">
        <v>10</v>
      </c>
      <c r="H20" s="30">
        <f>NORMDIST(H16,0,1,TRUE)</f>
        <v>0.51993880583837271</v>
      </c>
      <c r="L20" s="42"/>
    </row>
    <row r="21" spans="1:12" ht="15.75" thickBot="1" x14ac:dyDescent="0.3">
      <c r="E21" s="33">
        <f>E17*H20-E17*H21</f>
        <v>2.4083301914633886</v>
      </c>
      <c r="G21" s="9" t="s">
        <v>11</v>
      </c>
      <c r="H21" s="30">
        <f>NORMDIST(H17,0,1,TRUE)</f>
        <v>0.48006119416162774</v>
      </c>
      <c r="L21" s="42"/>
    </row>
    <row r="22" spans="1:12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5.75" thickBot="1" x14ac:dyDescent="0.3">
      <c r="L23" s="42"/>
    </row>
    <row r="24" spans="1:12" ht="15.75" thickBot="1" x14ac:dyDescent="0.3">
      <c r="A24" s="38" t="s">
        <v>42</v>
      </c>
      <c r="L24" s="42"/>
    </row>
    <row r="25" spans="1:12" x14ac:dyDescent="0.25">
      <c r="B25" s="28" t="s">
        <v>32</v>
      </c>
      <c r="C25" s="27"/>
      <c r="D25" s="27"/>
      <c r="E25" s="27"/>
      <c r="F25" s="27"/>
      <c r="G25" s="27"/>
      <c r="H25" s="27"/>
      <c r="I25" s="27"/>
      <c r="J25" s="27"/>
      <c r="K25" s="27"/>
      <c r="L25" s="42"/>
    </row>
    <row r="26" spans="1:12" x14ac:dyDescent="0.25">
      <c r="B26" s="28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42"/>
    </row>
    <row r="27" spans="1:12" x14ac:dyDescent="0.25">
      <c r="B27" s="28" t="s">
        <v>29</v>
      </c>
      <c r="C27" s="27"/>
      <c r="D27" s="27"/>
      <c r="E27" s="27"/>
      <c r="F27" s="27"/>
      <c r="G27" s="27"/>
      <c r="H27" s="27"/>
      <c r="I27" s="27"/>
      <c r="J27" s="27"/>
      <c r="K27" s="27"/>
      <c r="L27" s="42"/>
    </row>
    <row r="28" spans="1:12" x14ac:dyDescent="0.25">
      <c r="B28" s="96" t="s">
        <v>103</v>
      </c>
      <c r="C28" s="43"/>
      <c r="D28" s="43"/>
      <c r="L28" s="42"/>
    </row>
    <row r="29" spans="1:12" ht="15.75" thickBot="1" x14ac:dyDescent="0.3">
      <c r="B29" s="20" t="s">
        <v>34</v>
      </c>
      <c r="C29">
        <v>15</v>
      </c>
      <c r="E29" t="s">
        <v>38</v>
      </c>
      <c r="L29" s="42"/>
    </row>
    <row r="30" spans="1:12" ht="15.75" thickBot="1" x14ac:dyDescent="0.3">
      <c r="B30" s="20" t="s">
        <v>35</v>
      </c>
      <c r="C30" s="34">
        <v>0.04</v>
      </c>
      <c r="E30" s="36">
        <f>C30/C31+((C31-C30)/C31)*(1+C31)^(-C29)</f>
        <v>1.0457437188996788</v>
      </c>
      <c r="L30" s="42"/>
    </row>
    <row r="31" spans="1:12" x14ac:dyDescent="0.25">
      <c r="B31" s="20" t="s">
        <v>36</v>
      </c>
      <c r="C31" s="34">
        <v>3.5999999999999997E-2</v>
      </c>
      <c r="L31" s="42"/>
    </row>
    <row r="32" spans="1:12" ht="15.75" thickBot="1" x14ac:dyDescent="0.3">
      <c r="B32" s="20" t="s">
        <v>37</v>
      </c>
      <c r="C32" s="35">
        <v>500000</v>
      </c>
      <c r="E32" t="s">
        <v>39</v>
      </c>
      <c r="L32" s="42"/>
    </row>
    <row r="33" spans="2:16" ht="18.75" thickBot="1" x14ac:dyDescent="0.4">
      <c r="B33" s="20"/>
      <c r="D33" t="s">
        <v>40</v>
      </c>
      <c r="E33" s="37">
        <f>E30*C32</f>
        <v>522871.85944983939</v>
      </c>
      <c r="L33" s="42"/>
    </row>
    <row r="34" spans="2:16" x14ac:dyDescent="0.25">
      <c r="B34" s="20"/>
      <c r="L34" s="42"/>
    </row>
    <row r="35" spans="2:16" x14ac:dyDescent="0.25">
      <c r="B35" s="20"/>
      <c r="L35" s="42"/>
    </row>
    <row r="36" spans="2:16" x14ac:dyDescent="0.25">
      <c r="B36" s="28" t="s">
        <v>30</v>
      </c>
      <c r="C36" s="39"/>
      <c r="D36" s="39"/>
      <c r="E36" s="39"/>
      <c r="F36" s="39"/>
      <c r="G36" s="39"/>
      <c r="H36" s="39"/>
      <c r="I36" s="39"/>
      <c r="J36" s="39"/>
      <c r="K36" s="39"/>
      <c r="L36" s="72"/>
    </row>
    <row r="37" spans="2:16" x14ac:dyDescent="0.25">
      <c r="B37" s="28" t="s">
        <v>31</v>
      </c>
      <c r="C37" s="39"/>
      <c r="D37" s="39"/>
      <c r="E37" s="39"/>
      <c r="F37" s="39"/>
      <c r="G37" s="39"/>
      <c r="H37" s="39"/>
      <c r="I37" s="39"/>
      <c r="J37" s="39"/>
      <c r="K37" s="39"/>
      <c r="L37" s="72"/>
    </row>
    <row r="38" spans="2:16" ht="15.75" thickBot="1" x14ac:dyDescent="0.3">
      <c r="L38" s="42"/>
      <c r="N38" s="50" t="s">
        <v>51</v>
      </c>
    </row>
    <row r="39" spans="2:16" ht="15.75" thickBot="1" x14ac:dyDescent="0.3">
      <c r="B39" s="45" t="s">
        <v>43</v>
      </c>
      <c r="C39" s="46">
        <f>(1+C31)/C31-((1+C31)-C29*(C31-C30))/(C30*(1+C31)^C29+(C31-C30))</f>
        <v>11.650574293564762</v>
      </c>
      <c r="D39" s="47" t="s">
        <v>44</v>
      </c>
      <c r="L39" s="42"/>
      <c r="N39" t="s">
        <v>52</v>
      </c>
      <c r="O39" t="s">
        <v>53</v>
      </c>
      <c r="P39" t="s">
        <v>54</v>
      </c>
    </row>
    <row r="40" spans="2:16" x14ac:dyDescent="0.25">
      <c r="L40" s="42"/>
      <c r="M40">
        <v>1</v>
      </c>
      <c r="N40" s="8">
        <v>0.04</v>
      </c>
      <c r="O40" s="32">
        <f>N40/(1+$C$31)^M40</f>
        <v>3.8610038610038609E-2</v>
      </c>
      <c r="P40" s="32">
        <f>M40*O40</f>
        <v>3.8610038610038609E-2</v>
      </c>
    </row>
    <row r="41" spans="2:16" x14ac:dyDescent="0.25">
      <c r="L41" s="42"/>
      <c r="M41">
        <v>2</v>
      </c>
      <c r="N41" s="8">
        <v>0.04</v>
      </c>
      <c r="O41" s="32">
        <f t="shared" ref="O41:O54" si="1">N41/(1+$C$31)^M41</f>
        <v>3.7268377036716802E-2</v>
      </c>
      <c r="P41" s="32">
        <f t="shared" ref="P41:P54" si="2">M41*O41</f>
        <v>7.4536754073433603E-2</v>
      </c>
    </row>
    <row r="42" spans="2:16" x14ac:dyDescent="0.25">
      <c r="L42" s="42"/>
      <c r="M42">
        <v>3</v>
      </c>
      <c r="N42" s="8">
        <v>0.04</v>
      </c>
      <c r="O42" s="32">
        <f t="shared" si="1"/>
        <v>3.59733369080278E-2</v>
      </c>
      <c r="P42" s="32">
        <f t="shared" si="2"/>
        <v>0.1079200107240834</v>
      </c>
    </row>
    <row r="43" spans="2:16" x14ac:dyDescent="0.25">
      <c r="B43" s="44" t="s">
        <v>45</v>
      </c>
      <c r="L43" s="42"/>
      <c r="M43">
        <v>4</v>
      </c>
      <c r="N43" s="8">
        <v>0.04</v>
      </c>
      <c r="O43" s="32">
        <f t="shared" si="1"/>
        <v>3.472329817377201E-2</v>
      </c>
      <c r="P43" s="32">
        <f t="shared" si="2"/>
        <v>0.13889319269508804</v>
      </c>
    </row>
    <row r="44" spans="2:16" x14ac:dyDescent="0.25">
      <c r="C44" t="s">
        <v>47</v>
      </c>
      <c r="E44" s="34">
        <v>4.0000000000000001E-3</v>
      </c>
      <c r="L44" s="42"/>
      <c r="M44">
        <v>5</v>
      </c>
      <c r="N44" s="8">
        <v>0.04</v>
      </c>
      <c r="O44" s="32">
        <f t="shared" si="1"/>
        <v>3.3516697078930506E-2</v>
      </c>
      <c r="P44" s="32">
        <f t="shared" si="2"/>
        <v>0.16758348539465254</v>
      </c>
    </row>
    <row r="45" spans="2:16" x14ac:dyDescent="0.25">
      <c r="L45" s="42"/>
      <c r="M45">
        <v>6</v>
      </c>
      <c r="N45" s="8">
        <v>0.04</v>
      </c>
      <c r="O45" s="32">
        <f t="shared" si="1"/>
        <v>3.2352024207461888E-2</v>
      </c>
      <c r="P45" s="32">
        <f t="shared" si="2"/>
        <v>0.19411214524477133</v>
      </c>
    </row>
    <row r="46" spans="2:16" x14ac:dyDescent="0.25">
      <c r="C46" t="s">
        <v>46</v>
      </c>
      <c r="E46" s="34">
        <f>C31+E44</f>
        <v>3.9999999999999994E-2</v>
      </c>
      <c r="L46" s="42"/>
      <c r="M46">
        <v>7</v>
      </c>
      <c r="N46" s="8">
        <v>0.04</v>
      </c>
      <c r="O46" s="32">
        <f t="shared" si="1"/>
        <v>3.1227822594075173E-2</v>
      </c>
      <c r="P46" s="32">
        <f t="shared" si="2"/>
        <v>0.21859475815852622</v>
      </c>
    </row>
    <row r="47" spans="2:16" x14ac:dyDescent="0.25">
      <c r="L47" s="42"/>
      <c r="M47">
        <v>8</v>
      </c>
      <c r="N47" s="8">
        <v>0.04</v>
      </c>
      <c r="O47" s="32">
        <f t="shared" si="1"/>
        <v>3.0142685901616964E-2</v>
      </c>
      <c r="P47" s="32">
        <f t="shared" si="2"/>
        <v>0.24114148721293571</v>
      </c>
    </row>
    <row r="48" spans="2:16" x14ac:dyDescent="0.25">
      <c r="D48" t="s">
        <v>48</v>
      </c>
      <c r="L48" s="42"/>
      <c r="M48">
        <v>9</v>
      </c>
      <c r="N48" s="8">
        <v>0.04</v>
      </c>
      <c r="O48" s="32">
        <f t="shared" si="1"/>
        <v>2.9095256661792437E-2</v>
      </c>
      <c r="P48" s="32">
        <f t="shared" si="2"/>
        <v>0.26185730995613193</v>
      </c>
    </row>
    <row r="49" spans="1:16" ht="15.75" thickBot="1" x14ac:dyDescent="0.3">
      <c r="L49" s="42"/>
      <c r="M49">
        <v>10</v>
      </c>
      <c r="N49" s="8">
        <v>0.04</v>
      </c>
      <c r="O49" s="32">
        <f t="shared" si="1"/>
        <v>2.8084224577019725E-2</v>
      </c>
      <c r="P49" s="32">
        <f t="shared" si="2"/>
        <v>0.28084224577019723</v>
      </c>
    </row>
    <row r="50" spans="1:16" ht="15.75" thickBot="1" x14ac:dyDescent="0.3">
      <c r="C50" s="40" t="s">
        <v>49</v>
      </c>
      <c r="E50" s="48">
        <f>(C32-E33)</f>
        <v>-22871.859449839394</v>
      </c>
      <c r="G50" t="s">
        <v>55</v>
      </c>
      <c r="H50" s="51">
        <f>E33*H51</f>
        <v>-23520.299013647516</v>
      </c>
      <c r="L50" s="42"/>
      <c r="M50">
        <v>11</v>
      </c>
      <c r="N50" s="8">
        <v>0.04</v>
      </c>
      <c r="O50" s="32">
        <f t="shared" si="1"/>
        <v>2.710832488129317E-2</v>
      </c>
      <c r="P50" s="32">
        <f t="shared" si="2"/>
        <v>0.29819157369422489</v>
      </c>
    </row>
    <row r="51" spans="1:16" ht="15.75" thickBot="1" x14ac:dyDescent="0.3">
      <c r="C51" s="40" t="s">
        <v>50</v>
      </c>
      <c r="E51" s="52">
        <f>E50/E33</f>
        <v>-4.3742762278132424E-2</v>
      </c>
      <c r="G51" t="s">
        <v>57</v>
      </c>
      <c r="H51" s="41">
        <f>-C39*(E44/(1+C31))</f>
        <v>-4.498291233036588E-2</v>
      </c>
      <c r="I51" t="s">
        <v>56</v>
      </c>
      <c r="L51" s="42"/>
      <c r="M51">
        <v>12</v>
      </c>
      <c r="N51" s="8">
        <v>0.04</v>
      </c>
      <c r="O51" s="32">
        <f t="shared" si="1"/>
        <v>2.616633675800499E-2</v>
      </c>
      <c r="P51" s="32">
        <f t="shared" si="2"/>
        <v>0.31399604109605989</v>
      </c>
    </row>
    <row r="52" spans="1:16" x14ac:dyDescent="0.25">
      <c r="L52" s="42"/>
      <c r="M52">
        <v>13</v>
      </c>
      <c r="N52" s="8">
        <v>0.04</v>
      </c>
      <c r="O52" s="32">
        <f t="shared" si="1"/>
        <v>2.5257081812746128E-2</v>
      </c>
      <c r="P52" s="32">
        <f t="shared" si="2"/>
        <v>0.32834206356569967</v>
      </c>
    </row>
    <row r="53" spans="1:16" x14ac:dyDescent="0.25">
      <c r="L53" s="42"/>
      <c r="M53">
        <v>14</v>
      </c>
      <c r="N53" s="8">
        <v>0.04</v>
      </c>
      <c r="O53" s="32">
        <f t="shared" si="1"/>
        <v>2.4379422599175801E-2</v>
      </c>
      <c r="P53" s="32">
        <f t="shared" si="2"/>
        <v>0.3413119163884612</v>
      </c>
    </row>
    <row r="54" spans="1:16" x14ac:dyDescent="0.25">
      <c r="L54" s="42"/>
      <c r="M54">
        <v>15</v>
      </c>
      <c r="N54" s="8">
        <v>1.04</v>
      </c>
      <c r="O54" s="32">
        <f t="shared" si="1"/>
        <v>0.61183879109900652</v>
      </c>
      <c r="P54" s="32">
        <f t="shared" si="2"/>
        <v>9.177581866485097</v>
      </c>
    </row>
    <row r="55" spans="1:16" ht="15.75" thickBot="1" x14ac:dyDescent="0.3">
      <c r="L55" s="42"/>
    </row>
    <row r="56" spans="1:16" ht="15.75" thickBot="1" x14ac:dyDescent="0.3">
      <c r="L56" s="42"/>
      <c r="O56" s="49">
        <f>SUM(O40:O54)</f>
        <v>1.0457437188996783</v>
      </c>
      <c r="P56" s="49">
        <f>SUM(P40:P54)/E30</f>
        <v>11.650574293564752</v>
      </c>
    </row>
    <row r="57" spans="1:16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6" ht="15.75" thickBot="1" x14ac:dyDescent="0.3">
      <c r="L58" s="42"/>
    </row>
    <row r="59" spans="1:16" ht="15.75" thickBot="1" x14ac:dyDescent="0.3">
      <c r="A59" s="38" t="s">
        <v>66</v>
      </c>
      <c r="L59" s="42"/>
    </row>
    <row r="60" spans="1:16" x14ac:dyDescent="0.25">
      <c r="B60" s="28" t="s">
        <v>58</v>
      </c>
      <c r="C60" s="27"/>
      <c r="D60" s="27"/>
      <c r="E60" s="27"/>
      <c r="F60" s="27"/>
      <c r="G60" s="27"/>
      <c r="H60" s="27"/>
      <c r="I60" s="27"/>
      <c r="J60" s="27"/>
      <c r="L60" s="42"/>
    </row>
    <row r="61" spans="1:16" x14ac:dyDescent="0.25">
      <c r="B61" s="27"/>
      <c r="C61" s="27"/>
      <c r="D61" s="54" t="s">
        <v>67</v>
      </c>
      <c r="E61" s="55" t="s">
        <v>68</v>
      </c>
      <c r="F61" s="27"/>
      <c r="G61" s="27"/>
      <c r="H61" s="26" t="s">
        <v>59</v>
      </c>
      <c r="I61" s="27"/>
      <c r="J61" s="27"/>
      <c r="L61" s="42"/>
    </row>
    <row r="62" spans="1:16" x14ac:dyDescent="0.25">
      <c r="B62" s="28" t="s">
        <v>60</v>
      </c>
      <c r="C62" s="28"/>
      <c r="D62" s="28">
        <v>0.62409999999999999</v>
      </c>
      <c r="E62" s="28">
        <v>0.62680000000000002</v>
      </c>
      <c r="F62" s="27"/>
      <c r="G62" s="26" t="s">
        <v>62</v>
      </c>
      <c r="H62" s="56">
        <v>1.4E-2</v>
      </c>
      <c r="I62" s="57">
        <v>1.6E-2</v>
      </c>
      <c r="J62" s="27"/>
      <c r="L62" s="42"/>
    </row>
    <row r="63" spans="1:16" x14ac:dyDescent="0.25">
      <c r="B63" s="28" t="s">
        <v>63</v>
      </c>
      <c r="C63" s="28"/>
      <c r="D63" s="39">
        <v>0.77139999999999997</v>
      </c>
      <c r="E63" s="39">
        <v>0.77359999999999995</v>
      </c>
      <c r="F63" s="27"/>
      <c r="G63" s="26" t="s">
        <v>64</v>
      </c>
      <c r="H63" s="56">
        <v>1.9E-2</v>
      </c>
      <c r="I63" s="57">
        <v>2.1999999999999999E-2</v>
      </c>
      <c r="J63" s="27"/>
      <c r="L63" s="42"/>
    </row>
    <row r="64" spans="1:16" x14ac:dyDescent="0.25">
      <c r="B64" s="27"/>
      <c r="C64" s="26" t="s">
        <v>61</v>
      </c>
      <c r="D64" s="27"/>
      <c r="E64" s="27"/>
      <c r="F64" s="27"/>
      <c r="G64" s="26" t="s">
        <v>65</v>
      </c>
      <c r="H64" s="56">
        <v>8.0000000000000002E-3</v>
      </c>
      <c r="I64" s="57">
        <v>0.01</v>
      </c>
      <c r="J64" s="27"/>
      <c r="L64" s="42"/>
    </row>
    <row r="65" spans="2:12" x14ac:dyDescent="0.25">
      <c r="B65" s="29" t="s">
        <v>69</v>
      </c>
      <c r="C65" s="27"/>
      <c r="D65" s="27"/>
      <c r="E65" s="27"/>
      <c r="F65" s="27"/>
      <c r="G65" s="27"/>
      <c r="H65" s="27"/>
      <c r="I65" s="27"/>
      <c r="J65" s="27"/>
      <c r="L65" s="42"/>
    </row>
    <row r="66" spans="2:12" x14ac:dyDescent="0.25">
      <c r="B66" s="29"/>
      <c r="C66" s="27"/>
      <c r="D66" s="27"/>
      <c r="E66" s="27"/>
      <c r="F66" s="27"/>
      <c r="G66" s="27"/>
      <c r="H66" s="27"/>
      <c r="I66" s="27"/>
      <c r="J66" s="27"/>
      <c r="L66" s="42"/>
    </row>
    <row r="67" spans="2:12" x14ac:dyDescent="0.25">
      <c r="B67" s="20"/>
      <c r="D67" s="16" t="s">
        <v>74</v>
      </c>
      <c r="J67" t="s">
        <v>75</v>
      </c>
      <c r="L67" s="42"/>
    </row>
    <row r="68" spans="2:12" x14ac:dyDescent="0.25">
      <c r="B68" s="58" t="s">
        <v>70</v>
      </c>
      <c r="D68" s="31">
        <f>(D62+E62)/2</f>
        <v>0.62545000000000006</v>
      </c>
      <c r="F68" s="58"/>
      <c r="H68" s="32"/>
      <c r="I68" s="60">
        <f>(H62+I62)/2</f>
        <v>1.4999999999999999E-2</v>
      </c>
      <c r="J68" s="61" t="s">
        <v>62</v>
      </c>
      <c r="L68" s="42"/>
    </row>
    <row r="69" spans="2:12" ht="15.75" thickBot="1" x14ac:dyDescent="0.3">
      <c r="B69" s="58" t="s">
        <v>71</v>
      </c>
      <c r="D69" s="31">
        <f>(D63+E63)/2</f>
        <v>0.77249999999999996</v>
      </c>
      <c r="F69" s="58" t="s">
        <v>72</v>
      </c>
      <c r="H69" s="32">
        <f>1/D69</f>
        <v>1.2944983818770228</v>
      </c>
      <c r="I69" s="60">
        <f t="shared" ref="I69:I70" si="3">(H63+I63)/2</f>
        <v>2.0499999999999997E-2</v>
      </c>
      <c r="J69" s="61" t="s">
        <v>64</v>
      </c>
      <c r="L69" s="42"/>
    </row>
    <row r="70" spans="2:12" ht="15.75" thickBot="1" x14ac:dyDescent="0.3">
      <c r="B70" s="58" t="s">
        <v>73</v>
      </c>
      <c r="D70" s="59">
        <f>D68/D69</f>
        <v>0.80964401294498389</v>
      </c>
      <c r="E70" s="10"/>
      <c r="F70" s="10"/>
      <c r="G70" s="10"/>
      <c r="H70" s="59">
        <f>H69*D68</f>
        <v>0.809644012944984</v>
      </c>
      <c r="I70" s="60">
        <f t="shared" si="3"/>
        <v>9.0000000000000011E-3</v>
      </c>
      <c r="J70" s="61" t="s">
        <v>65</v>
      </c>
      <c r="L70" s="42"/>
    </row>
    <row r="71" spans="2:12" x14ac:dyDescent="0.25">
      <c r="B71" s="58" t="s">
        <v>77</v>
      </c>
      <c r="D71">
        <v>180</v>
      </c>
      <c r="L71" s="42"/>
    </row>
    <row r="72" spans="2:12" ht="15.75" thickBot="1" x14ac:dyDescent="0.3">
      <c r="B72" s="58"/>
      <c r="L72" s="42"/>
    </row>
    <row r="73" spans="2:12" ht="15.75" thickBot="1" x14ac:dyDescent="0.3">
      <c r="B73" s="58" t="s">
        <v>76</v>
      </c>
      <c r="D73" s="59">
        <f>D70/(1+(I69-I70)*D71/(360+I70*D71))</f>
        <v>0.80503579411357218</v>
      </c>
      <c r="L73" s="42"/>
    </row>
    <row r="74" spans="2:12" x14ac:dyDescent="0.25">
      <c r="B74" s="58"/>
      <c r="L74" s="42"/>
    </row>
    <row r="75" spans="2:12" x14ac:dyDescent="0.25">
      <c r="B75" s="58"/>
      <c r="C75" s="50" t="s">
        <v>81</v>
      </c>
      <c r="L75" s="42"/>
    </row>
    <row r="76" spans="2:12" ht="15.75" thickBot="1" x14ac:dyDescent="0.3">
      <c r="L76" s="42"/>
    </row>
    <row r="77" spans="2:12" ht="15.75" thickBot="1" x14ac:dyDescent="0.3">
      <c r="E77" s="58" t="s">
        <v>82</v>
      </c>
      <c r="F77" s="70">
        <f>1/D70</f>
        <v>1.2351107202813973</v>
      </c>
      <c r="G77" t="s">
        <v>83</v>
      </c>
      <c r="L77" s="42"/>
    </row>
    <row r="78" spans="2:12" x14ac:dyDescent="0.25">
      <c r="L78" s="42"/>
    </row>
    <row r="79" spans="2:12" x14ac:dyDescent="0.25">
      <c r="B79" s="29" t="s">
        <v>78</v>
      </c>
      <c r="C79" s="39"/>
      <c r="D79" s="39"/>
      <c r="E79" s="39"/>
      <c r="F79" s="39"/>
      <c r="G79" s="39"/>
      <c r="H79" s="39"/>
      <c r="I79" s="39"/>
      <c r="J79" s="39"/>
      <c r="L79" s="42"/>
    </row>
    <row r="80" spans="2:12" x14ac:dyDescent="0.25">
      <c r="L80" s="42"/>
    </row>
    <row r="81" spans="1:12" x14ac:dyDescent="0.25">
      <c r="C81" s="62"/>
      <c r="D81" s="63" t="s">
        <v>67</v>
      </c>
      <c r="E81" s="64" t="s">
        <v>68</v>
      </c>
      <c r="L81" s="42"/>
    </row>
    <row r="82" spans="1:12" x14ac:dyDescent="0.25">
      <c r="B82" s="58" t="s">
        <v>60</v>
      </c>
      <c r="C82" s="58"/>
      <c r="D82" s="58">
        <v>0.62409999999999999</v>
      </c>
      <c r="E82" s="58">
        <v>0.62680000000000002</v>
      </c>
      <c r="G82" s="58" t="s">
        <v>79</v>
      </c>
      <c r="H82" s="32">
        <f>1/E82</f>
        <v>1.5954052329291639</v>
      </c>
      <c r="I82" s="32">
        <f>1/D82</f>
        <v>1.602307322544464</v>
      </c>
      <c r="L82" s="42"/>
    </row>
    <row r="83" spans="1:12" x14ac:dyDescent="0.25">
      <c r="B83" s="58" t="s">
        <v>63</v>
      </c>
      <c r="C83" s="58"/>
      <c r="D83" s="65">
        <v>0.77139999999999997</v>
      </c>
      <c r="E83" s="65">
        <v>0.77359999999999995</v>
      </c>
      <c r="G83" s="58"/>
      <c r="H83" s="32"/>
      <c r="I83" s="32"/>
      <c r="L83" s="42"/>
    </row>
    <row r="84" spans="1:12" ht="15.75" thickBot="1" x14ac:dyDescent="0.3">
      <c r="L84" s="42"/>
    </row>
    <row r="85" spans="1:12" ht="15.75" thickBot="1" x14ac:dyDescent="0.3">
      <c r="B85" s="58" t="s">
        <v>80</v>
      </c>
      <c r="D85" s="66">
        <f>D83/E82</f>
        <v>1.2306955966815569</v>
      </c>
      <c r="E85" s="67">
        <f>E83/D82</f>
        <v>1.2395449447203972</v>
      </c>
      <c r="H85" s="68">
        <f>H82*D83</f>
        <v>1.2306955966815569</v>
      </c>
      <c r="I85" s="69">
        <f>I82*E83</f>
        <v>1.2395449447203972</v>
      </c>
      <c r="L85" s="42"/>
    </row>
    <row r="86" spans="1:12" ht="15.75" thickBot="1" x14ac:dyDescent="0.3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5.75" thickBot="1" x14ac:dyDescent="0.3">
      <c r="A87" s="38" t="s">
        <v>87</v>
      </c>
      <c r="L87" s="42"/>
    </row>
    <row r="88" spans="1:12" x14ac:dyDescent="0.25">
      <c r="B88" s="28" t="s">
        <v>84</v>
      </c>
      <c r="C88" s="27"/>
      <c r="D88" s="27"/>
      <c r="E88" s="27"/>
      <c r="F88" s="27"/>
      <c r="G88" s="27"/>
      <c r="H88" s="27"/>
      <c r="I88" s="27"/>
      <c r="J88" s="27"/>
      <c r="K88" s="27"/>
      <c r="L88" s="42"/>
    </row>
    <row r="89" spans="1:12" x14ac:dyDescent="0.25">
      <c r="B89" s="28" t="s">
        <v>85</v>
      </c>
      <c r="C89" s="27"/>
      <c r="D89" s="27"/>
      <c r="E89" s="27"/>
      <c r="F89" s="27"/>
      <c r="G89" s="27"/>
      <c r="H89" s="27"/>
      <c r="I89" s="27"/>
      <c r="J89" s="27"/>
      <c r="K89" s="27"/>
      <c r="L89" s="42"/>
    </row>
    <row r="90" spans="1:12" x14ac:dyDescent="0.25">
      <c r="B90" s="29" t="s">
        <v>86</v>
      </c>
      <c r="C90" s="27"/>
      <c r="D90" s="27"/>
      <c r="E90" s="27"/>
      <c r="F90" s="27"/>
      <c r="G90" s="27"/>
      <c r="H90" s="27"/>
      <c r="I90" s="27"/>
      <c r="J90" s="27"/>
      <c r="K90" s="27"/>
      <c r="L90" s="42"/>
    </row>
    <row r="91" spans="1:12" x14ac:dyDescent="0.25">
      <c r="L91" s="42"/>
    </row>
    <row r="92" spans="1:12" x14ac:dyDescent="0.25">
      <c r="B92" s="1" t="s">
        <v>0</v>
      </c>
      <c r="C92" s="2" t="s">
        <v>17</v>
      </c>
      <c r="D92" s="2" t="s">
        <v>18</v>
      </c>
      <c r="F92" s="2" t="s">
        <v>16</v>
      </c>
      <c r="L92" s="42"/>
    </row>
    <row r="93" spans="1:12" x14ac:dyDescent="0.25">
      <c r="B93" s="3" t="s">
        <v>1</v>
      </c>
      <c r="C93" s="3"/>
      <c r="D93" s="22">
        <v>65.3</v>
      </c>
      <c r="F93" s="21">
        <v>65.3</v>
      </c>
      <c r="L93" s="42"/>
    </row>
    <row r="94" spans="1:12" x14ac:dyDescent="0.25">
      <c r="B94" s="3" t="s">
        <v>2</v>
      </c>
      <c r="C94" s="3"/>
      <c r="D94" s="21">
        <v>64</v>
      </c>
      <c r="F94" s="21">
        <v>61</v>
      </c>
      <c r="L94" s="42"/>
    </row>
    <row r="95" spans="1:12" x14ac:dyDescent="0.25">
      <c r="B95" s="3" t="s">
        <v>3</v>
      </c>
      <c r="C95" s="3"/>
      <c r="D95" s="4">
        <v>0.03</v>
      </c>
      <c r="F95" s="4">
        <v>0.03</v>
      </c>
      <c r="L95" s="42"/>
    </row>
    <row r="96" spans="1:12" x14ac:dyDescent="0.25">
      <c r="B96" s="3" t="s">
        <v>4</v>
      </c>
      <c r="C96" s="3"/>
      <c r="D96" s="5">
        <v>0.22</v>
      </c>
      <c r="F96" s="5">
        <v>0.22</v>
      </c>
      <c r="L96" s="42"/>
    </row>
    <row r="97" spans="2:12" x14ac:dyDescent="0.25">
      <c r="B97" s="6" t="s">
        <v>5</v>
      </c>
      <c r="C97" s="6"/>
      <c r="D97" s="7">
        <f>F97</f>
        <v>0.25</v>
      </c>
      <c r="F97" s="7">
        <v>0.25</v>
      </c>
      <c r="L97" s="42"/>
    </row>
    <row r="98" spans="2:12" x14ac:dyDescent="0.25">
      <c r="D98" s="8"/>
      <c r="F98" s="8"/>
      <c r="L98" s="42"/>
    </row>
    <row r="99" spans="2:12" x14ac:dyDescent="0.25">
      <c r="B99" s="9" t="s">
        <v>6</v>
      </c>
      <c r="C99" s="9"/>
      <c r="D99" s="11">
        <f>(LN(D93/D94)+(D95+D96*D96/2)*D97)/(D96*SQRT(D97))</f>
        <v>0.30599048111557708</v>
      </c>
      <c r="F99" s="10">
        <f>(LN(F93/F94)+(F95+F96*F96/2)*F97)/(F96*SQRT(F97))</f>
        <v>0.74243792826431043</v>
      </c>
      <c r="H99" t="s">
        <v>101</v>
      </c>
      <c r="L99" s="42"/>
    </row>
    <row r="100" spans="2:12" x14ac:dyDescent="0.25">
      <c r="B100" s="9" t="s">
        <v>7</v>
      </c>
      <c r="C100" s="9"/>
      <c r="D100" s="11">
        <f>D99-D96*SQRT(D97)</f>
        <v>0.1959904811155771</v>
      </c>
      <c r="F100" s="11">
        <f>F99-F96*SQRT(F97)</f>
        <v>0.63243792826431044</v>
      </c>
      <c r="H100" t="s">
        <v>102</v>
      </c>
      <c r="L100" s="42"/>
    </row>
    <row r="101" spans="2:12" x14ac:dyDescent="0.25">
      <c r="B101" s="9" t="s">
        <v>8</v>
      </c>
      <c r="D101" s="10">
        <f>NORMDIST(D99,0,1,FALSE)</f>
        <v>0.38069619116212894</v>
      </c>
      <c r="F101" s="10">
        <f>NORMDIST(F99,0,1,FALSE)</f>
        <v>0.30284154263444457</v>
      </c>
      <c r="L101" s="42"/>
    </row>
    <row r="102" spans="2:12" x14ac:dyDescent="0.25">
      <c r="B102" s="9" t="s">
        <v>9</v>
      </c>
      <c r="C102" s="9"/>
      <c r="D102" s="10">
        <f>NORMDIST(D100,0,1,FALSE)</f>
        <v>0.39135325259485021</v>
      </c>
      <c r="F102" s="10">
        <f>NORMDIST(F100,0,1,FALSE)</f>
        <v>0.32662995016450314</v>
      </c>
      <c r="L102" s="42"/>
    </row>
    <row r="103" spans="2:12" x14ac:dyDescent="0.25">
      <c r="B103" s="9" t="s">
        <v>10</v>
      </c>
      <c r="C103" s="9"/>
      <c r="D103" s="10">
        <f>NORMDIST(D99,0,1,TRUE)</f>
        <v>0.6201940533135214</v>
      </c>
      <c r="F103" s="10">
        <f>NORMDIST(F99,0,1,TRUE)</f>
        <v>0.77108897663330733</v>
      </c>
      <c r="L103" s="42"/>
    </row>
    <row r="104" spans="2:12" x14ac:dyDescent="0.25">
      <c r="B104" s="9" t="s">
        <v>11</v>
      </c>
      <c r="C104" s="9"/>
      <c r="D104" s="10">
        <f>NORMDIST(D100,0,1,TRUE)</f>
        <v>0.57769119175872308</v>
      </c>
      <c r="F104" s="10">
        <f>NORMDIST(F100,0,1,TRUE)</f>
        <v>0.73644962168092842</v>
      </c>
      <c r="L104" s="42"/>
    </row>
    <row r="105" spans="2:12" ht="15.75" thickBot="1" x14ac:dyDescent="0.3">
      <c r="B105" s="9"/>
      <c r="F105" s="10"/>
      <c r="L105" s="42"/>
    </row>
    <row r="106" spans="2:12" ht="15.75" thickBot="1" x14ac:dyDescent="0.3">
      <c r="B106" s="12" t="s">
        <v>12</v>
      </c>
      <c r="C106" s="13">
        <f>D93</f>
        <v>65.3</v>
      </c>
      <c r="D106" s="18">
        <f>D94*EXP(-D95*D97)*NORMDIST(-D100,0,1,TRUE)-D93*NORMDIST(-D99,0,1,TRUE)</f>
        <v>2.0244854398819463</v>
      </c>
      <c r="F106" s="13">
        <f>F93*NORMDIST(F99,0,1,TRUE)-F94*EXP(-F95*F97)*NORMDIST(F100,0,1,TRUE)</f>
        <v>5.7643486349199691</v>
      </c>
      <c r="H106" s="53" t="s">
        <v>88</v>
      </c>
      <c r="I106" s="73">
        <f>D106</f>
        <v>2.0244854398819463</v>
      </c>
      <c r="L106" s="42"/>
    </row>
    <row r="107" spans="2:12" ht="15.75" thickBot="1" x14ac:dyDescent="0.3">
      <c r="B107" s="14" t="s">
        <v>13</v>
      </c>
      <c r="C107" s="14">
        <v>1</v>
      </c>
      <c r="D107" s="19">
        <f>NORMDIST(D99,0,1,TRUE)-1</f>
        <v>-0.3798059466864786</v>
      </c>
      <c r="F107" s="23">
        <f>NORMDIST(F99,0,1,TRUE)</f>
        <v>0.77108897663330733</v>
      </c>
      <c r="H107" s="53" t="s">
        <v>90</v>
      </c>
      <c r="I107" s="73">
        <f>D107</f>
        <v>-0.3798059466864786</v>
      </c>
      <c r="L107" s="42"/>
    </row>
    <row r="108" spans="2:12" x14ac:dyDescent="0.25">
      <c r="B108" s="15" t="s">
        <v>14</v>
      </c>
      <c r="C108" s="15">
        <v>0</v>
      </c>
      <c r="D108" s="25">
        <f>NORMDIST(D99,0,1,FALSE)/(D93*D96*SQRT(D97))</f>
        <v>5.2999608960340935E-2</v>
      </c>
      <c r="F108" s="24">
        <f>NORMDIST(F99,0,1,FALSE)/(F93*F96*SQRT(F97))</f>
        <v>4.2160871868918919E-2</v>
      </c>
      <c r="L108" s="42"/>
    </row>
    <row r="109" spans="2:12" x14ac:dyDescent="0.25">
      <c r="L109" s="42"/>
    </row>
    <row r="110" spans="2:12" x14ac:dyDescent="0.25">
      <c r="B110" s="29" t="s">
        <v>89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42"/>
    </row>
    <row r="111" spans="2:12" x14ac:dyDescent="0.25">
      <c r="L111" s="42"/>
    </row>
    <row r="112" spans="2:12" x14ac:dyDescent="0.25">
      <c r="B112" s="75" t="s">
        <v>15</v>
      </c>
      <c r="C112" s="75"/>
      <c r="D112" s="76" t="s">
        <v>88</v>
      </c>
      <c r="L112" s="42"/>
    </row>
    <row r="113" spans="2:12" x14ac:dyDescent="0.25">
      <c r="B113" s="77" t="s">
        <v>91</v>
      </c>
      <c r="C113" s="77"/>
      <c r="D113" s="71">
        <v>100</v>
      </c>
      <c r="L113" s="42"/>
    </row>
    <row r="114" spans="2:12" x14ac:dyDescent="0.25">
      <c r="B114" s="76" t="s">
        <v>12</v>
      </c>
      <c r="C114" s="76" t="s">
        <v>13</v>
      </c>
      <c r="D114" s="76" t="s">
        <v>14</v>
      </c>
      <c r="L114" s="42"/>
    </row>
    <row r="115" spans="2:12" x14ac:dyDescent="0.25">
      <c r="B115" s="78">
        <f>D113*D106</f>
        <v>202.44854398819461</v>
      </c>
      <c r="C115" s="74">
        <f>D113*D107</f>
        <v>-37.980594668647861</v>
      </c>
      <c r="D115" s="82">
        <f>D113*D108</f>
        <v>5.2999608960340936</v>
      </c>
      <c r="L115" s="42"/>
    </row>
    <row r="116" spans="2:12" x14ac:dyDescent="0.25">
      <c r="B116" s="20"/>
      <c r="L116" s="42"/>
    </row>
    <row r="117" spans="2:12" x14ac:dyDescent="0.25">
      <c r="B117" s="29" t="s">
        <v>92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2"/>
    </row>
    <row r="118" spans="2:12" x14ac:dyDescent="0.25">
      <c r="L118" s="42"/>
    </row>
    <row r="119" spans="2:12" x14ac:dyDescent="0.25">
      <c r="B119" s="75" t="s">
        <v>15</v>
      </c>
      <c r="C119" s="76" t="s">
        <v>17</v>
      </c>
      <c r="D119" s="76" t="s">
        <v>88</v>
      </c>
      <c r="L119" s="42"/>
    </row>
    <row r="120" spans="2:12" x14ac:dyDescent="0.25">
      <c r="B120" s="77" t="s">
        <v>91</v>
      </c>
      <c r="C120" s="79">
        <f>-C115</f>
        <v>37.980594668647861</v>
      </c>
      <c r="D120" s="71">
        <f>D113</f>
        <v>100</v>
      </c>
      <c r="L120" s="42"/>
    </row>
    <row r="121" spans="2:12" x14ac:dyDescent="0.25">
      <c r="B121" s="76" t="s">
        <v>12</v>
      </c>
      <c r="C121" s="76" t="s">
        <v>13</v>
      </c>
      <c r="D121" s="76" t="s">
        <v>14</v>
      </c>
      <c r="L121" s="42"/>
    </row>
    <row r="122" spans="2:12" x14ac:dyDescent="0.25">
      <c r="B122" s="78">
        <f>C106*C120+D106*D120</f>
        <v>2682.5813758508998</v>
      </c>
      <c r="C122" s="80">
        <f>C120+C115</f>
        <v>0</v>
      </c>
      <c r="D122" s="81">
        <f>D115</f>
        <v>5.2999608960340936</v>
      </c>
      <c r="L122" s="42"/>
    </row>
    <row r="123" spans="2:12" x14ac:dyDescent="0.25">
      <c r="L123" s="42"/>
    </row>
    <row r="124" spans="2:12" x14ac:dyDescent="0.25">
      <c r="B124" s="20"/>
      <c r="L124" s="42"/>
    </row>
    <row r="125" spans="2:12" x14ac:dyDescent="0.25">
      <c r="B125" s="29" t="s">
        <v>93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/>
    </row>
    <row r="126" spans="2:12" x14ac:dyDescent="0.25">
      <c r="B126" s="29" t="s">
        <v>94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/>
    </row>
    <row r="127" spans="2:12" x14ac:dyDescent="0.25">
      <c r="L127" s="42"/>
    </row>
    <row r="128" spans="2:12" x14ac:dyDescent="0.25">
      <c r="B128" s="17" t="s">
        <v>95</v>
      </c>
      <c r="L128" s="42"/>
    </row>
    <row r="129" spans="1:12" ht="15.75" thickBot="1" x14ac:dyDescent="0.3">
      <c r="B129" s="75" t="s">
        <v>15</v>
      </c>
      <c r="C129" s="83" t="s">
        <v>17</v>
      </c>
      <c r="D129" s="83" t="s">
        <v>88</v>
      </c>
      <c r="E129" s="83" t="s">
        <v>16</v>
      </c>
      <c r="F129" t="s">
        <v>97</v>
      </c>
      <c r="L129" s="42"/>
    </row>
    <row r="130" spans="1:12" ht="15.75" thickBot="1" x14ac:dyDescent="0.3">
      <c r="B130" s="85" t="s">
        <v>96</v>
      </c>
      <c r="C130" s="87">
        <f>C120-E130*F107</f>
        <v>134.91268459851076</v>
      </c>
      <c r="D130" s="84">
        <f>D120</f>
        <v>100</v>
      </c>
      <c r="E130" s="84">
        <f>-D122/F108</f>
        <v>-125.70804779635584</v>
      </c>
      <c r="F130" t="s">
        <v>98</v>
      </c>
      <c r="L130" s="42"/>
    </row>
    <row r="131" spans="1:12" x14ac:dyDescent="0.25">
      <c r="B131" s="76" t="s">
        <v>12</v>
      </c>
      <c r="C131" s="86" t="s">
        <v>13</v>
      </c>
      <c r="D131" s="86" t="s">
        <v>14</v>
      </c>
      <c r="L131" s="42"/>
    </row>
    <row r="132" spans="1:12" x14ac:dyDescent="0.25">
      <c r="B132" s="78">
        <f>C130*C106+D130*D106+E130*F106</f>
        <v>8287.6218345575708</v>
      </c>
      <c r="C132" s="78">
        <f>C130+D130*D107+E130*F107</f>
        <v>0</v>
      </c>
      <c r="D132" s="78">
        <f>D130*D108+E130*F108</f>
        <v>0</v>
      </c>
      <c r="L132" s="42"/>
    </row>
    <row r="133" spans="1:12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6</xdr:col>
                <xdr:colOff>581025</xdr:colOff>
                <xdr:row>12</xdr:row>
                <xdr:rowOff>19050</xdr:rowOff>
              </to>
            </anchor>
          </objectPr>
        </oleObject>
      </mc:Choice>
      <mc:Fallback>
        <oleObject progId="Equation.DSMT4" shapeId="1025" r:id="rId3"/>
      </mc:Fallback>
    </mc:AlternateContent>
    <mc:AlternateContent xmlns:mc="http://schemas.openxmlformats.org/markup-compatibility/2006">
      <mc:Choice Requires="x14">
        <oleObject progId="Equation.DSMT4" shapeId="1026" r:id="rId5">
          <objectPr defaultSize="0" autoPict="0" r:id="rId6">
            <anchor moveWithCells="1">
              <from>
                <xdr:col>6</xdr:col>
                <xdr:colOff>0</xdr:colOff>
                <xdr:row>28</xdr:row>
                <xdr:rowOff>0</xdr:rowOff>
              </from>
              <to>
                <xdr:col>10</xdr:col>
                <xdr:colOff>257175</xdr:colOff>
                <xdr:row>33</xdr:row>
                <xdr:rowOff>171450</xdr:rowOff>
              </to>
            </anchor>
          </objectPr>
        </oleObject>
      </mc:Choice>
      <mc:Fallback>
        <oleObject progId="Equation.DSMT4" shapeId="1026" r:id="rId5"/>
      </mc:Fallback>
    </mc:AlternateContent>
    <mc:AlternateContent xmlns:mc="http://schemas.openxmlformats.org/markup-compatibility/2006">
      <mc:Choice Requires="x14">
        <oleObject progId="Equation.DSMT4" shapeId="1027" r:id="rId7">
          <objectPr defaultSize="0" autoPict="0" r:id="rId8">
            <anchor moveWithCells="1">
              <from>
                <xdr:col>6</xdr:col>
                <xdr:colOff>0</xdr:colOff>
                <xdr:row>38</xdr:row>
                <xdr:rowOff>0</xdr:rowOff>
              </from>
              <to>
                <xdr:col>10</xdr:col>
                <xdr:colOff>247650</xdr:colOff>
                <xdr:row>41</xdr:row>
                <xdr:rowOff>133350</xdr:rowOff>
              </to>
            </anchor>
          </objectPr>
        </oleObject>
      </mc:Choice>
      <mc:Fallback>
        <oleObject progId="Equation.DSMT4" shapeId="1027" r:id="rId7"/>
      </mc:Fallback>
    </mc:AlternateContent>
    <mc:AlternateContent xmlns:mc="http://schemas.openxmlformats.org/markup-compatibility/2006">
      <mc:Choice Requires="x14">
        <oleObject progId="Equation.DSMT4" shapeId="1029" r:id="rId9">
          <objectPr defaultSize="0" autoPict="0" r:id="rId10">
            <anchor moveWithCells="1">
              <from>
                <xdr:col>4</xdr:col>
                <xdr:colOff>142875</xdr:colOff>
                <xdr:row>71</xdr:row>
                <xdr:rowOff>57150</xdr:rowOff>
              </from>
              <to>
                <xdr:col>9</xdr:col>
                <xdr:colOff>552450</xdr:colOff>
                <xdr:row>74</xdr:row>
                <xdr:rowOff>123825</xdr:rowOff>
              </to>
            </anchor>
          </objectPr>
        </oleObject>
      </mc:Choice>
      <mc:Fallback>
        <oleObject progId="Equation.DSMT4" shapeId="1029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FRANCOIS-HEUDE</dc:creator>
  <cp:lastModifiedBy>Alain FRANCOIS-HEUDE</cp:lastModifiedBy>
  <dcterms:created xsi:type="dcterms:W3CDTF">2012-11-27T18:31:31Z</dcterms:created>
  <dcterms:modified xsi:type="dcterms:W3CDTF">2013-11-15T14:01:36Z</dcterms:modified>
</cp:coreProperties>
</file>