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xo 1" sheetId="1" r:id="rId1"/>
    <sheet name="Exo 2" sheetId="2" r:id="rId2"/>
    <sheet name="Exo 3" sheetId="3" r:id="rId3"/>
    <sheet name="Exo 4" sheetId="4" r:id="rId4"/>
  </sheets>
  <calcPr calcId="145621"/>
</workbook>
</file>

<file path=xl/calcChain.xml><?xml version="1.0" encoding="utf-8"?>
<calcChain xmlns="http://schemas.openxmlformats.org/spreadsheetml/2006/main">
  <c r="M11" i="1" l="1"/>
  <c r="L11" i="1"/>
  <c r="M22" i="1"/>
  <c r="F34" i="4" l="1"/>
  <c r="L16" i="1"/>
  <c r="N6" i="1"/>
  <c r="M6" i="1"/>
  <c r="N22" i="1"/>
  <c r="M16" i="1"/>
  <c r="D33" i="4" l="1"/>
  <c r="D34" i="4"/>
  <c r="D35" i="4"/>
  <c r="D36" i="4"/>
  <c r="D32" i="4"/>
  <c r="D23" i="4"/>
  <c r="D19" i="4"/>
  <c r="D18" i="4"/>
  <c r="D17" i="4"/>
  <c r="D16" i="4"/>
  <c r="N31" i="3"/>
  <c r="G31" i="3"/>
  <c r="E37" i="3"/>
  <c r="E35" i="3"/>
  <c r="I33" i="3" s="1"/>
  <c r="H25" i="3"/>
  <c r="E15" i="3"/>
  <c r="E16" i="3" s="1"/>
  <c r="D15" i="3"/>
  <c r="D16" i="3" s="1"/>
  <c r="B15" i="3"/>
  <c r="B24" i="3" s="1"/>
  <c r="E36" i="3" l="1"/>
  <c r="E38" i="3" s="1"/>
  <c r="I32" i="3"/>
  <c r="E39" i="3"/>
  <c r="E20" i="3"/>
  <c r="E18" i="3"/>
  <c r="E24" i="3"/>
  <c r="E19" i="3"/>
  <c r="E23" i="3"/>
  <c r="E22" i="3"/>
  <c r="E17" i="3"/>
  <c r="D20" i="3"/>
  <c r="D18" i="3"/>
  <c r="D24" i="3"/>
  <c r="D19" i="3"/>
  <c r="D23" i="3"/>
  <c r="D22" i="3"/>
  <c r="D17" i="3"/>
  <c r="B19" i="3"/>
  <c r="B16" i="3"/>
  <c r="B17" i="3"/>
  <c r="B23" i="3"/>
  <c r="E39" i="2"/>
  <c r="I31" i="3" l="1"/>
  <c r="E40" i="3"/>
  <c r="B18" i="3"/>
  <c r="B20" i="3"/>
  <c r="B22" i="3"/>
  <c r="C22" i="2"/>
  <c r="F15" i="2"/>
  <c r="F23" i="2" s="1"/>
  <c r="C31" i="2" s="1"/>
  <c r="D15" i="2"/>
  <c r="G29" i="2" l="1"/>
  <c r="F16" i="2"/>
  <c r="F22" i="2" s="1"/>
  <c r="B31" i="2" s="1"/>
  <c r="F24" i="2"/>
  <c r="D31" i="2" s="1"/>
  <c r="D16" i="2"/>
  <c r="D22" i="2" s="1"/>
  <c r="D23" i="2"/>
  <c r="D19" i="2"/>
  <c r="D17" i="2"/>
  <c r="D24" i="2"/>
  <c r="G30" i="2" s="1"/>
  <c r="F17" i="2"/>
  <c r="F19" i="2"/>
  <c r="D39" i="2" l="1"/>
  <c r="C39" i="2" s="1"/>
  <c r="F18" i="2"/>
  <c r="F20" i="2"/>
  <c r="D20" i="2"/>
  <c r="D18" i="2"/>
  <c r="I23" i="2"/>
  <c r="I22" i="2"/>
  <c r="B41" i="2" l="1"/>
  <c r="C41" i="2"/>
  <c r="D41" i="2"/>
  <c r="H12" i="1"/>
  <c r="N28" i="1"/>
  <c r="M28" i="1"/>
  <c r="L28" i="1"/>
  <c r="L31" i="1" s="1"/>
  <c r="L22" i="1"/>
  <c r="N11" i="1"/>
  <c r="N16" i="1" s="1"/>
  <c r="L6" i="1"/>
  <c r="D11" i="1" l="1"/>
  <c r="D12" i="1"/>
</calcChain>
</file>

<file path=xl/sharedStrings.xml><?xml version="1.0" encoding="utf-8"?>
<sst xmlns="http://schemas.openxmlformats.org/spreadsheetml/2006/main" count="166" uniqueCount="120">
  <si>
    <r>
      <t>Exercice N°1 :</t>
    </r>
    <r>
      <rPr>
        <sz val="10"/>
        <color theme="1"/>
        <rFont val="Times New Roman"/>
        <family val="1"/>
      </rPr>
      <t xml:space="preserve">  A Londres, on constate les taux suivants :</t>
    </r>
  </si>
  <si>
    <t xml:space="preserve">GBP-EUR      </t>
  </si>
  <si>
    <t>Grande Bretagne</t>
  </si>
  <si>
    <t xml:space="preserve">GBP – CNY      </t>
  </si>
  <si>
    <t>Europe (UE)</t>
  </si>
  <si>
    <t>Chine</t>
  </si>
  <si>
    <r>
      <t>Q1</t>
    </r>
    <r>
      <rPr>
        <sz val="10"/>
        <color theme="1"/>
        <rFont val="Times New Roman"/>
        <family val="1"/>
      </rPr>
      <t xml:space="preserve"> : Donner le change spot EUR-CNY en Bid-Ask                                                  (ou </t>
    </r>
    <r>
      <rPr>
        <i/>
        <sz val="10"/>
        <color theme="1"/>
        <rFont val="Times New Roman"/>
        <family val="1"/>
      </rPr>
      <t>en prix moyen  pour un point de moins</t>
    </r>
    <r>
      <rPr>
        <sz val="10"/>
        <color theme="1"/>
        <rFont val="Times New Roman"/>
        <family val="1"/>
      </rPr>
      <t>)</t>
    </r>
  </si>
  <si>
    <r>
      <t>Q3</t>
    </r>
    <r>
      <rPr>
        <sz val="10"/>
        <color theme="1"/>
        <rFont val="Times New Roman"/>
        <family val="1"/>
      </rPr>
      <t> : On anticipe une augmentation de 25 points de base (0,25%) de l’ensemble des taux en € et une banque propose un change à terme (Forward) de 10,70.  Quel est le nouveau taux d’intérêt attendu en Chine, si le change à terme est crédible ?</t>
    </r>
  </si>
  <si>
    <t>MID</t>
  </si>
  <si>
    <t>BID</t>
  </si>
  <si>
    <t>ASK</t>
  </si>
  <si>
    <t xml:space="preserve">Moyen        </t>
  </si>
  <si>
    <t xml:space="preserve">Offert    </t>
  </si>
  <si>
    <t xml:space="preserve">Demandé   </t>
  </si>
  <si>
    <t>EUR-CNY spot</t>
  </si>
  <si>
    <t>Horizon</t>
  </si>
  <si>
    <r>
      <t>Q2</t>
    </r>
    <r>
      <rPr>
        <sz val="10"/>
        <color theme="1"/>
        <rFont val="Times New Roman"/>
        <family val="1"/>
      </rPr>
      <t> : Donner les changes Forward à 6 mois (ou à terme)  pour les parités EUR-CNY et GBP-CNY en Bid-Ask  (ou en prix et taux moyens  pour un point de moins)</t>
    </r>
  </si>
  <si>
    <t>TAUX</t>
  </si>
  <si>
    <t>CHANGE</t>
  </si>
  <si>
    <t>Tx Yuan Mid</t>
  </si>
  <si>
    <t>en change et taux BID-ASK</t>
  </si>
  <si>
    <t xml:space="preserve">en change et taux moyen :             </t>
  </si>
  <si>
    <t>EUR-GBP spot</t>
  </si>
  <si>
    <t>en change et taux moyens :</t>
  </si>
  <si>
    <r>
      <t>Exercice N°2 :</t>
    </r>
    <r>
      <rPr>
        <sz val="10"/>
        <color theme="1"/>
        <rFont val="Times New Roman"/>
        <family val="1"/>
      </rPr>
      <t xml:space="preserve">  </t>
    </r>
  </si>
  <si>
    <t>MARCHE</t>
  </si>
  <si>
    <t>TITRE</t>
  </si>
  <si>
    <t xml:space="preserve"> PUT</t>
  </si>
  <si>
    <t>CALL</t>
  </si>
  <si>
    <t>prix en 0</t>
  </si>
  <si>
    <t>prix d'Exercice</t>
  </si>
  <si>
    <t>taux d'intérêt/an</t>
  </si>
  <si>
    <t>volatilité/an</t>
  </si>
  <si>
    <t>écheance (en année)</t>
  </si>
  <si>
    <t>d1</t>
  </si>
  <si>
    <t>A partir du gamma du Put, on obtient f(d1)</t>
  </si>
  <si>
    <t>d2</t>
  </si>
  <si>
    <r>
      <t xml:space="preserve">f(d1) = Gamma * S * </t>
    </r>
    <r>
      <rPr>
        <sz val="11"/>
        <color theme="1"/>
        <rFont val="Calibri"/>
        <family val="2"/>
      </rPr>
      <t>σ * racine(τ)</t>
    </r>
  </si>
  <si>
    <t>f(d1)</t>
  </si>
  <si>
    <t>f(d2)</t>
  </si>
  <si>
    <t>N(d1)</t>
  </si>
  <si>
    <t>N(d2)</t>
  </si>
  <si>
    <t>Valeur</t>
  </si>
  <si>
    <t>PUT</t>
  </si>
  <si>
    <t>Delta</t>
  </si>
  <si>
    <t>Delta PUT</t>
  </si>
  <si>
    <t>Gamma</t>
  </si>
  <si>
    <t>Quantité détenue</t>
  </si>
  <si>
    <t xml:space="preserve">Portefeuille </t>
  </si>
  <si>
    <r>
      <t xml:space="preserve">       </t>
    </r>
    <r>
      <rPr>
        <b/>
        <sz val="10"/>
        <color theme="1"/>
        <rFont val="Times New Roman"/>
        <family val="1"/>
      </rPr>
      <t>composition du portefeuille (nombre de titres, de call et de put détenus).</t>
    </r>
  </si>
  <si>
    <t>avec CALL</t>
  </si>
  <si>
    <t>Portefeuille</t>
  </si>
  <si>
    <t xml:space="preserve">Un Call et un Put sont dérivés d’un actif financier dont la valeur actuelle est de 159€. Le prix d’exercice est de 162€, l’échéance (τ) de 0,40 an, </t>
  </si>
  <si>
    <t xml:space="preserve">le taux d’intérêt (r) de 4% l’an et la volatilité (σ) de 25% pour les deux options. </t>
  </si>
  <si>
    <t>Δ(put) =</t>
  </si>
  <si>
    <t>Γ (put) =</t>
  </si>
  <si>
    <t>pour le titre ==&gt;  - [Qté (Put ) * Delta (Put)+Qté (Call ) * Delta (Call)]</t>
  </si>
  <si>
    <r>
      <t>Q4</t>
    </r>
    <r>
      <rPr>
        <b/>
        <sz val="10"/>
        <color theme="1"/>
        <rFont val="Times New Roman"/>
        <family val="1"/>
      </rPr>
      <t> :  Déterminer le prix du Call</t>
    </r>
  </si>
  <si>
    <r>
      <t>Q5</t>
    </r>
    <r>
      <rPr>
        <b/>
        <sz val="10"/>
        <color theme="1"/>
        <rFont val="Times New Roman"/>
        <family val="1"/>
      </rPr>
      <t> : Pour un portefeuille composé de 300 titres support et de 400 Call vendus, préciser la valeur, le delta (Δ) et le gamma ( Γ ) du portefeuille.</t>
    </r>
  </si>
  <si>
    <t>Actif</t>
  </si>
  <si>
    <t>pour le PUT ==&gt;   - Gamma (Portefeuille) / Gamma (Put)</t>
  </si>
  <si>
    <t>Il n'est pas intéressant de faire du Delta-Gamma neutre avec un Call et un Put de même strike et même maturité</t>
  </si>
  <si>
    <t>EUR-CNY fwd3</t>
  </si>
  <si>
    <t>GBP-CNY  fwd3</t>
  </si>
  <si>
    <r>
      <t>en change et taux BID-ASK           Fwd</t>
    </r>
    <r>
      <rPr>
        <vertAlign val="subscript"/>
        <sz val="10"/>
        <color theme="1"/>
        <rFont val="Times New Roman"/>
        <family val="1"/>
      </rPr>
      <t>BID</t>
    </r>
    <r>
      <rPr>
        <sz val="10"/>
        <color theme="1"/>
        <rFont val="Times New Roman"/>
        <family val="1"/>
      </rPr>
      <t xml:space="preserve"> = Spot</t>
    </r>
    <r>
      <rPr>
        <vertAlign val="subscript"/>
        <sz val="10"/>
        <color theme="1"/>
        <rFont val="Times New Roman"/>
        <family val="1"/>
      </rPr>
      <t>BID</t>
    </r>
    <r>
      <rPr>
        <sz val="10"/>
        <color theme="1"/>
        <rFont val="Times New Roman"/>
        <family val="1"/>
      </rPr>
      <t>*(1+Tx Yuan</t>
    </r>
    <r>
      <rPr>
        <vertAlign val="subscript"/>
        <sz val="10"/>
        <color theme="1"/>
        <rFont val="Times New Roman"/>
        <family val="1"/>
      </rPr>
      <t>BID</t>
    </r>
    <r>
      <rPr>
        <sz val="10"/>
        <color theme="1"/>
        <rFont val="Times New Roman"/>
        <family val="1"/>
      </rPr>
      <t xml:space="preserve"> / 4 ) / ( 1 + Tx €</t>
    </r>
    <r>
      <rPr>
        <vertAlign val="subscript"/>
        <sz val="10"/>
        <color theme="1"/>
        <rFont val="Times New Roman"/>
        <family val="1"/>
      </rPr>
      <t>ASK</t>
    </r>
    <r>
      <rPr>
        <sz val="10"/>
        <color theme="1"/>
        <rFont val="Times New Roman"/>
        <family val="1"/>
      </rPr>
      <t xml:space="preserve"> /4)</t>
    </r>
  </si>
  <si>
    <t>=Fwd =  Spot*(1+Tx Yuan / 4 ) / ( 1 + Tx € /4)</t>
  </si>
  <si>
    <r>
      <t>Fwd</t>
    </r>
    <r>
      <rPr>
        <vertAlign val="subscript"/>
        <sz val="10"/>
        <color theme="1"/>
        <rFont val="Times New Roman"/>
        <family val="1"/>
      </rPr>
      <t xml:space="preserve"> ASK</t>
    </r>
    <r>
      <rPr>
        <sz val="10"/>
        <color theme="1"/>
        <rFont val="Times New Roman"/>
        <family val="1"/>
      </rPr>
      <t xml:space="preserve"> = Spot</t>
    </r>
    <r>
      <rPr>
        <vertAlign val="subscript"/>
        <sz val="10"/>
        <color theme="1"/>
        <rFont val="Times New Roman"/>
        <family val="1"/>
      </rPr>
      <t xml:space="preserve"> ASK</t>
    </r>
    <r>
      <rPr>
        <sz val="10"/>
        <color theme="1"/>
        <rFont val="Times New Roman"/>
        <family val="1"/>
      </rPr>
      <t xml:space="preserve"> *(1+Tx Yuan</t>
    </r>
    <r>
      <rPr>
        <vertAlign val="subscript"/>
        <sz val="10"/>
        <color theme="1"/>
        <rFont val="Times New Roman"/>
        <family val="1"/>
      </rPr>
      <t xml:space="preserve"> ASK</t>
    </r>
    <r>
      <rPr>
        <sz val="10"/>
        <color theme="1"/>
        <rFont val="Times New Roman"/>
        <family val="1"/>
      </rPr>
      <t xml:space="preserve"> / 4 ) / ( 1 + Tx €</t>
    </r>
    <r>
      <rPr>
        <vertAlign val="subscript"/>
        <sz val="10"/>
        <color theme="1"/>
        <rFont val="Times New Roman"/>
        <family val="1"/>
      </rPr>
      <t>BID</t>
    </r>
    <r>
      <rPr>
        <sz val="10"/>
        <color theme="1"/>
        <rFont val="Times New Roman"/>
        <family val="1"/>
      </rPr>
      <t xml:space="preserve"> /4)</t>
    </r>
  </si>
  <si>
    <t>new EUR -CNY  fwd3</t>
  </si>
  <si>
    <t>En change et taux moyens :             Tx Yuan = 4 [ (Fwd / Spot )  ( 1 + Tx € /4) - 1 ]</t>
  </si>
  <si>
    <t>car même delta à une constante près et même gamma ….</t>
  </si>
  <si>
    <t>S</t>
  </si>
  <si>
    <t>E</t>
  </si>
  <si>
    <t>r</t>
  </si>
  <si>
    <t>Sigma</t>
  </si>
  <si>
    <t>Tau</t>
  </si>
  <si>
    <t>Call</t>
  </si>
  <si>
    <t>Δ(call) =</t>
  </si>
  <si>
    <t>Γ (call) =</t>
  </si>
  <si>
    <t>Principe :   a)  on fixe une volatilité sigme, puis on calcule la valeur du Call</t>
  </si>
  <si>
    <t xml:space="preserve">                      b) si Call calculé &gt; 8,35 ==&gt; il faut un sigma plus élevé (sinon plus faible).</t>
  </si>
  <si>
    <t>Hypo Sigma</t>
  </si>
  <si>
    <t xml:space="preserve">avec sigma = 20%, on a un prix de Call de 6,887 ==&gt;  comme &lt; à 8,35, on augmente la volatilité </t>
  </si>
  <si>
    <t>Choix : sigma = 30%  ==&gt; prix du Call =  9,816</t>
  </si>
  <si>
    <t>INTERPOLATION LINEAIRE</t>
  </si>
  <si>
    <t>σ* =</t>
  </si>
  <si>
    <t>σ* = 20% + (30% - 20% ) [ ( 9,816 - 8,351 ) / ( 9,816 - 6,887 ) ] = 0,25</t>
  </si>
  <si>
    <t xml:space="preserve">σ* = σ + 2% = </t>
  </si>
  <si>
    <t>S* = S - 1€</t>
  </si>
  <si>
    <t>AVANT</t>
  </si>
  <si>
    <t>APRES</t>
  </si>
  <si>
    <t>Donc augmentation du prix du call de</t>
  </si>
  <si>
    <r>
      <t xml:space="preserve">Alternative : calculer le Vega et le delta   </t>
    </r>
    <r>
      <rPr>
        <sz val="11"/>
        <color theme="1"/>
        <rFont val="Calibri"/>
        <family val="2"/>
      </rPr>
      <t xml:space="preserve"> =  ΔC</t>
    </r>
  </si>
  <si>
    <r>
      <t>Call* = Call  + 1*Δ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+ 2%*V</t>
    </r>
    <r>
      <rPr>
        <vertAlign val="subscript"/>
        <sz val="11"/>
        <color theme="1"/>
        <rFont val="Calibri"/>
        <family val="2"/>
        <scheme val="minor"/>
      </rPr>
      <t>c</t>
    </r>
  </si>
  <si>
    <r>
      <t>Exercice N°3 :</t>
    </r>
    <r>
      <rPr>
        <sz val="10"/>
        <color theme="1"/>
        <rFont val="Times New Roman"/>
        <family val="1"/>
      </rPr>
      <t xml:space="preserve">  </t>
    </r>
  </si>
  <si>
    <r>
      <t>Exercice N°4 :</t>
    </r>
    <r>
      <rPr>
        <sz val="10"/>
        <color theme="1"/>
        <rFont val="Times New Roman"/>
        <family val="1"/>
      </rPr>
      <t xml:space="preserve">  </t>
    </r>
  </si>
  <si>
    <t>Q10 : Avec un CAC40 spot à 4 130 points, un taux d’intérêt Euribor de 0,40% à 3 mois et 0,50% à 6mois, donner le niveau attendu de l’indice pour une échéance dans 1 mois.</t>
  </si>
  <si>
    <t xml:space="preserve">Q9 : Donner le montant à payer (&lt;0) ou à recevoir (&gt;0) pour une entreprise ayant acheté un FRA de 1 dans 2 sur Euribor au taux de 2,60% (taux garanti pour un nominal de 50M€) </t>
  </si>
  <si>
    <t>si, à l’issue de la période d’attente, le taux Euribor observé est de 2,80%</t>
  </si>
  <si>
    <t xml:space="preserve">Prime = </t>
  </si>
  <si>
    <t>si période = 1 mois</t>
  </si>
  <si>
    <t>si période = 1 trimestre</t>
  </si>
  <si>
    <t>si période = 1 semestre</t>
  </si>
  <si>
    <t>si période = 1 an</t>
  </si>
  <si>
    <t>(en M€)</t>
  </si>
  <si>
    <t>Q9</t>
  </si>
  <si>
    <t>Q10</t>
  </si>
  <si>
    <t>CAC spot</t>
  </si>
  <si>
    <t>CAC Fwd 1m</t>
  </si>
  <si>
    <t xml:space="preserve"> = Spot * exp ( r ) T</t>
  </si>
  <si>
    <t>T = 1 mois</t>
  </si>
  <si>
    <t>Estimation du taux d'intérêt à 1 mois ?</t>
  </si>
  <si>
    <t>à 4 mois</t>
  </si>
  <si>
    <t>à 6 mois</t>
  </si>
  <si>
    <t>à 1 mois ?</t>
  </si>
  <si>
    <t>compris entre 0% et 0,40%   (hypothèse des taux d'intérêt positif et croissant)</t>
  </si>
  <si>
    <t>Taux</t>
  </si>
  <si>
    <t>Cac Fwd</t>
  </si>
  <si>
    <r>
      <t>Q6</t>
    </r>
    <r>
      <rPr>
        <b/>
        <sz val="10"/>
        <color theme="1"/>
        <rFont val="Times New Roman"/>
        <family val="1"/>
      </rPr>
      <t xml:space="preserve"> : portefeuille delta (Δ) et gamma ( Γ ) neutres. Préciser la </t>
    </r>
  </si>
  <si>
    <t>Q8</t>
  </si>
  <si>
    <t>Contrôle Terminal 2013-2014   UM2 IAE M2 MASS AFH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</si>
</sst>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</font>
    <font>
      <b/>
      <i/>
      <sz val="10"/>
      <color theme="1"/>
      <name val="Times New Roman"/>
      <family val="1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10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9" fillId="5" borderId="0" xfId="0" applyFont="1" applyFill="1" applyAlignment="1">
      <alignment vertical="center"/>
    </xf>
    <xf numFmtId="0" fontId="0" fillId="5" borderId="0" xfId="0" applyFill="1"/>
    <xf numFmtId="0" fontId="1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7" fillId="6" borderId="0" xfId="0" applyFont="1" applyFill="1"/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/>
    <xf numFmtId="164" fontId="7" fillId="4" borderId="6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7" fontId="7" fillId="3" borderId="1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0" fontId="9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4" fillId="0" borderId="0" xfId="0" quotePrefix="1" applyFont="1" applyAlignment="1">
      <alignment horizontal="left" vertical="center" indent="15"/>
    </xf>
    <xf numFmtId="0" fontId="0" fillId="0" borderId="0" xfId="0" quotePrefix="1"/>
    <xf numFmtId="0" fontId="3" fillId="4" borderId="8" xfId="0" applyFont="1" applyFill="1" applyBorder="1" applyAlignment="1">
      <alignment horizontal="center"/>
    </xf>
    <xf numFmtId="10" fontId="2" fillId="4" borderId="9" xfId="1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7" fontId="0" fillId="4" borderId="14" xfId="0" applyNumberFormat="1" applyFill="1" applyBorder="1" applyAlignment="1">
      <alignment horizontal="center"/>
    </xf>
    <xf numFmtId="167" fontId="0" fillId="4" borderId="15" xfId="0" applyNumberForma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7" fontId="11" fillId="2" borderId="4" xfId="0" applyNumberFormat="1" applyFont="1" applyFill="1" applyBorder="1" applyAlignment="1">
      <alignment horizontal="center"/>
    </xf>
    <xf numFmtId="167" fontId="11" fillId="2" borderId="1" xfId="0" applyNumberFormat="1" applyFont="1" applyFill="1" applyBorder="1" applyAlignment="1">
      <alignment horizontal="center"/>
    </xf>
    <xf numFmtId="166" fontId="11" fillId="5" borderId="0" xfId="0" applyNumberFormat="1" applyFont="1" applyFill="1" applyAlignment="1">
      <alignment horizontal="center"/>
    </xf>
    <xf numFmtId="167" fontId="11" fillId="5" borderId="0" xfId="0" applyNumberFormat="1" applyFont="1" applyFill="1" applyAlignment="1">
      <alignment horizontal="center"/>
    </xf>
    <xf numFmtId="10" fontId="11" fillId="5" borderId="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4" borderId="6" xfId="0" applyFont="1" applyFill="1" applyBorder="1" applyAlignment="1">
      <alignment horizontal="center"/>
    </xf>
    <xf numFmtId="10" fontId="2" fillId="4" borderId="6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2" fontId="2" fillId="4" borderId="0" xfId="0" applyNumberFormat="1" applyFont="1" applyFill="1"/>
    <xf numFmtId="0" fontId="2" fillId="5" borderId="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</xdr:row>
          <xdr:rowOff>28575</xdr:rowOff>
        </xdr:from>
        <xdr:to>
          <xdr:col>7</xdr:col>
          <xdr:colOff>600075</xdr:colOff>
          <xdr:row>13</xdr:row>
          <xdr:rowOff>57150</xdr:rowOff>
        </xdr:to>
        <xdr:sp macro="" textlink="">
          <xdr:nvSpPr>
            <xdr:cNvPr id="4097" name="Object 16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2" sqref="C2"/>
    </sheetView>
  </sheetViews>
  <sheetFormatPr baseColWidth="10" defaultRowHeight="15" x14ac:dyDescent="0.25"/>
  <cols>
    <col min="5" max="5" width="3.5703125" customWidth="1"/>
    <col min="10" max="10" width="3.140625" customWidth="1"/>
    <col min="11" max="11" width="17.42578125" customWidth="1"/>
  </cols>
  <sheetData>
    <row r="1" spans="1:14" x14ac:dyDescent="0.25">
      <c r="A1" s="90" t="s">
        <v>119</v>
      </c>
      <c r="B1" s="91"/>
      <c r="C1" s="91"/>
      <c r="D1" s="91"/>
      <c r="E1" s="91"/>
      <c r="F1" s="91"/>
    </row>
    <row r="3" spans="1:14" x14ac:dyDescent="0.25">
      <c r="A3" s="1" t="s">
        <v>0</v>
      </c>
    </row>
    <row r="4" spans="1:14" x14ac:dyDescent="0.25">
      <c r="A4" s="1"/>
    </row>
    <row r="5" spans="1:14" x14ac:dyDescent="0.25">
      <c r="A5" s="9" t="s">
        <v>18</v>
      </c>
      <c r="B5" s="10" t="s">
        <v>8</v>
      </c>
      <c r="C5" s="10" t="s">
        <v>9</v>
      </c>
      <c r="D5" s="10" t="s">
        <v>10</v>
      </c>
      <c r="E5" s="10"/>
      <c r="F5" s="9" t="s">
        <v>17</v>
      </c>
      <c r="G5" s="12" t="s">
        <v>11</v>
      </c>
      <c r="H5" s="12" t="s">
        <v>12</v>
      </c>
      <c r="I5" s="12" t="s">
        <v>13</v>
      </c>
      <c r="J5" s="12"/>
      <c r="K5" s="9" t="s">
        <v>18</v>
      </c>
      <c r="L5" s="10" t="s">
        <v>8</v>
      </c>
      <c r="M5" s="10" t="s">
        <v>9</v>
      </c>
      <c r="N5" s="10" t="s">
        <v>10</v>
      </c>
    </row>
    <row r="6" spans="1:14" x14ac:dyDescent="0.25">
      <c r="A6" s="1" t="s">
        <v>1</v>
      </c>
      <c r="B6" s="14">
        <v>1.1930000000000001</v>
      </c>
      <c r="C6" s="14">
        <v>1.1919999999999999</v>
      </c>
      <c r="D6" s="14">
        <v>1.194</v>
      </c>
      <c r="E6" s="10"/>
      <c r="F6" s="2" t="s">
        <v>2</v>
      </c>
      <c r="G6" s="3">
        <v>3.2899999999999999E-2</v>
      </c>
      <c r="H6" s="3">
        <v>3.2599999999999997E-2</v>
      </c>
      <c r="I6" s="3">
        <v>3.32E-2</v>
      </c>
      <c r="J6" s="3"/>
      <c r="K6" s="12" t="s">
        <v>22</v>
      </c>
      <c r="L6" s="14">
        <f>1/B6</f>
        <v>0.83822296730930423</v>
      </c>
      <c r="M6" s="14">
        <f>1/D6</f>
        <v>0.83752093802345062</v>
      </c>
      <c r="N6" s="14">
        <f>1/C6</f>
        <v>0.83892617449664431</v>
      </c>
    </row>
    <row r="7" spans="1:14" x14ac:dyDescent="0.25">
      <c r="A7" s="1" t="s">
        <v>3</v>
      </c>
      <c r="B7" s="14">
        <v>9.9890000000000008</v>
      </c>
      <c r="C7" s="14">
        <v>9.984</v>
      </c>
      <c r="D7" s="14">
        <v>9.9939999999999998</v>
      </c>
      <c r="E7" s="14"/>
      <c r="F7" s="2" t="s">
        <v>4</v>
      </c>
      <c r="G7" s="4">
        <v>1.6400000000000001E-2</v>
      </c>
      <c r="H7" s="3">
        <v>1.6E-2</v>
      </c>
      <c r="I7" s="3">
        <v>1.6799999999999999E-2</v>
      </c>
      <c r="J7" s="3"/>
      <c r="K7" s="15"/>
    </row>
    <row r="8" spans="1:14" x14ac:dyDescent="0.25">
      <c r="A8" t="s">
        <v>15</v>
      </c>
      <c r="B8" s="10">
        <v>4</v>
      </c>
      <c r="F8" s="2" t="s">
        <v>5</v>
      </c>
      <c r="G8" s="3">
        <v>5.0999999999999997E-2</v>
      </c>
      <c r="H8" s="3">
        <v>5.04E-2</v>
      </c>
      <c r="I8" s="3">
        <v>5.16E-2</v>
      </c>
      <c r="J8" s="3"/>
      <c r="K8" s="15"/>
    </row>
    <row r="9" spans="1:14" ht="15.75" thickBot="1" x14ac:dyDescent="0.3">
      <c r="F9" s="2"/>
      <c r="G9" s="3"/>
      <c r="H9" s="3"/>
      <c r="I9" s="3"/>
      <c r="J9" s="3"/>
      <c r="K9" s="15"/>
    </row>
    <row r="10" spans="1:14" x14ac:dyDescent="0.25">
      <c r="A10" s="5" t="s">
        <v>6</v>
      </c>
      <c r="K10" s="64" t="s">
        <v>18</v>
      </c>
      <c r="L10" s="65" t="s">
        <v>8</v>
      </c>
      <c r="M10" s="65" t="s">
        <v>9</v>
      </c>
      <c r="N10" s="66" t="s">
        <v>10</v>
      </c>
    </row>
    <row r="11" spans="1:14" ht="15.75" thickBot="1" x14ac:dyDescent="0.3">
      <c r="A11" s="6" t="s">
        <v>21</v>
      </c>
      <c r="D11" t="str">
        <f>"=(1/"&amp;FIXED(B6,4)&amp;")*"&amp;FIXED(B7,4)&amp;" = "&amp;FIXED(L11,4)</f>
        <v>=(1/1,1930)*9,9890 = 8,3730</v>
      </c>
      <c r="K11" s="67" t="s">
        <v>14</v>
      </c>
      <c r="L11" s="68">
        <f>B7/B6</f>
        <v>8.3730092204526407</v>
      </c>
      <c r="M11" s="68">
        <f>M6*C7</f>
        <v>8.3618090452261313</v>
      </c>
      <c r="N11" s="69">
        <f>N6*D7</f>
        <v>8.3842281879194633</v>
      </c>
    </row>
    <row r="12" spans="1:14" x14ac:dyDescent="0.25">
      <c r="A12" s="6" t="s">
        <v>20</v>
      </c>
      <c r="D12" t="str">
        <f>"=(1/"&amp;FIXED(D6,4)&amp;")*"&amp;FIXED(C7,4)&amp;" =  "&amp;FIXED(M11,4)</f>
        <v>=(1/1,1940)*9,9840 =  8,3618</v>
      </c>
      <c r="H12" t="str">
        <f>"=(1/"&amp;FIXED(C6,4)&amp;")*"&amp;FIXED(D7,4)&amp;" =  "&amp;FIXED(N11,4)</f>
        <v>=(1/1,1920)*9,9940 =  8,3842</v>
      </c>
      <c r="K12" s="15"/>
    </row>
    <row r="13" spans="1:14" x14ac:dyDescent="0.25">
      <c r="A13" s="2"/>
      <c r="K13" s="15"/>
    </row>
    <row r="14" spans="1:14" ht="15.75" thickBot="1" x14ac:dyDescent="0.3">
      <c r="A14" s="5" t="s">
        <v>16</v>
      </c>
      <c r="K14" s="15"/>
    </row>
    <row r="15" spans="1:14" x14ac:dyDescent="0.25">
      <c r="A15" s="6" t="s">
        <v>23</v>
      </c>
      <c r="D15" s="61" t="s">
        <v>65</v>
      </c>
      <c r="K15" s="64" t="s">
        <v>18</v>
      </c>
      <c r="L15" s="65" t="s">
        <v>8</v>
      </c>
      <c r="M15" s="65" t="s">
        <v>9</v>
      </c>
      <c r="N15" s="66" t="s">
        <v>10</v>
      </c>
    </row>
    <row r="16" spans="1:14" ht="15.75" thickBot="1" x14ac:dyDescent="0.3">
      <c r="A16" s="60"/>
      <c r="K16" s="67" t="s">
        <v>62</v>
      </c>
      <c r="L16" s="68">
        <f>L11*(1+G8/B8)/(1+G7/B8)</f>
        <v>8.4451400139561912</v>
      </c>
      <c r="M16" s="68">
        <f>M11*(1+H8/B8)/(1+I7/B8)</f>
        <v>8.4317544704202145</v>
      </c>
      <c r="N16" s="69">
        <f>N11*(1+I8/B8)/(1+H7/B8)</f>
        <v>8.4585505294259189</v>
      </c>
    </row>
    <row r="17" spans="1:14" x14ac:dyDescent="0.25">
      <c r="A17" s="6" t="s">
        <v>64</v>
      </c>
      <c r="K17" s="15"/>
    </row>
    <row r="18" spans="1:14" x14ac:dyDescent="0.25">
      <c r="A18" s="7"/>
      <c r="K18" s="15"/>
    </row>
    <row r="19" spans="1:14" x14ac:dyDescent="0.25">
      <c r="A19" s="7" t="s">
        <v>66</v>
      </c>
      <c r="K19" s="15"/>
    </row>
    <row r="20" spans="1:14" ht="15.75" thickBot="1" x14ac:dyDescent="0.3">
      <c r="A20" s="7"/>
      <c r="K20" s="15"/>
    </row>
    <row r="21" spans="1:14" x14ac:dyDescent="0.25">
      <c r="C21" s="8"/>
      <c r="K21" s="64" t="s">
        <v>18</v>
      </c>
      <c r="L21" s="65" t="s">
        <v>8</v>
      </c>
      <c r="M21" s="65" t="s">
        <v>9</v>
      </c>
      <c r="N21" s="66" t="s">
        <v>10</v>
      </c>
    </row>
    <row r="22" spans="1:14" ht="15.75" thickBot="1" x14ac:dyDescent="0.3">
      <c r="A22" s="8"/>
      <c r="K22" s="70" t="s">
        <v>63</v>
      </c>
      <c r="L22" s="68">
        <f>B7*(1+G8/B8)/(1+G6/B8)</f>
        <v>10.033831486027426</v>
      </c>
      <c r="M22" s="68">
        <f>C7*(1+H8/B8)/(1+I6/B8)</f>
        <v>10.026577804224932</v>
      </c>
      <c r="N22" s="69">
        <f>D7*(1+I8/B8)/(1+H6/B8)</f>
        <v>10.041087734960074</v>
      </c>
    </row>
    <row r="23" spans="1:14" x14ac:dyDescent="0.25">
      <c r="A23" s="6"/>
    </row>
    <row r="24" spans="1:14" x14ac:dyDescent="0.25">
      <c r="A24" s="2"/>
    </row>
    <row r="25" spans="1:14" x14ac:dyDescent="0.25">
      <c r="A25" s="5" t="s">
        <v>7</v>
      </c>
    </row>
    <row r="26" spans="1:14" x14ac:dyDescent="0.25">
      <c r="A26" s="2"/>
    </row>
    <row r="27" spans="1:14" x14ac:dyDescent="0.25">
      <c r="B27" s="2"/>
      <c r="C27" s="2"/>
      <c r="K27" s="9" t="s">
        <v>17</v>
      </c>
      <c r="L27" s="12" t="s">
        <v>11</v>
      </c>
      <c r="M27" s="12" t="s">
        <v>12</v>
      </c>
      <c r="N27" s="12" t="s">
        <v>13</v>
      </c>
    </row>
    <row r="28" spans="1:14" x14ac:dyDescent="0.25">
      <c r="A28" s="2"/>
      <c r="K28" s="2" t="s">
        <v>4</v>
      </c>
      <c r="L28" s="3">
        <f>G7+0.25%</f>
        <v>1.89E-2</v>
      </c>
      <c r="M28" s="3">
        <f>H7+0.25%</f>
        <v>1.8499999999999999E-2</v>
      </c>
      <c r="N28" s="3">
        <f>I7+0.25%</f>
        <v>1.9299999999999998E-2</v>
      </c>
    </row>
    <row r="29" spans="1:14" x14ac:dyDescent="0.25">
      <c r="A29" s="2" t="s">
        <v>68</v>
      </c>
      <c r="K29" s="16" t="s">
        <v>67</v>
      </c>
      <c r="L29" s="11">
        <v>8.5</v>
      </c>
    </row>
    <row r="30" spans="1:14" ht="15.75" thickBot="1" x14ac:dyDescent="0.3">
      <c r="A30" s="7"/>
      <c r="K30" s="9"/>
      <c r="L30" s="10"/>
      <c r="M30" s="10"/>
      <c r="N30" s="10"/>
    </row>
    <row r="31" spans="1:14" ht="15.75" thickBot="1" x14ac:dyDescent="0.3">
      <c r="A31" s="7"/>
      <c r="K31" s="62" t="s">
        <v>19</v>
      </c>
      <c r="L31" s="63">
        <f>B8*((L29/L11)*(1+L28/B8)-1)</f>
        <v>7.9853383722094051E-2</v>
      </c>
      <c r="M31" s="13"/>
      <c r="N31" s="13"/>
    </row>
    <row r="32" spans="1:14" x14ac:dyDescent="0.25">
      <c r="A32" s="2"/>
    </row>
    <row r="33" spans="1:1" x14ac:dyDescent="0.25">
      <c r="A3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G15" sqref="G15"/>
    </sheetView>
  </sheetViews>
  <sheetFormatPr baseColWidth="10" defaultRowHeight="15" x14ac:dyDescent="0.25"/>
  <cols>
    <col min="1" max="1" width="2.28515625" customWidth="1"/>
  </cols>
  <sheetData>
    <row r="1" spans="2:8" x14ac:dyDescent="0.25">
      <c r="B1" s="1" t="s">
        <v>24</v>
      </c>
    </row>
    <row r="2" spans="2:8" x14ac:dyDescent="0.25">
      <c r="B2" s="2"/>
    </row>
    <row r="3" spans="2:8" x14ac:dyDescent="0.25">
      <c r="B3" s="2" t="s">
        <v>52</v>
      </c>
    </row>
    <row r="4" spans="2:8" x14ac:dyDescent="0.25">
      <c r="B4" s="2" t="s">
        <v>53</v>
      </c>
    </row>
    <row r="5" spans="2:8" x14ac:dyDescent="0.25">
      <c r="B5" s="1"/>
    </row>
    <row r="6" spans="2:8" x14ac:dyDescent="0.25">
      <c r="B6" s="58" t="s">
        <v>57</v>
      </c>
    </row>
    <row r="8" spans="2:8" x14ac:dyDescent="0.25">
      <c r="B8" s="17" t="s">
        <v>25</v>
      </c>
      <c r="C8" s="18" t="s">
        <v>26</v>
      </c>
      <c r="D8" s="18" t="s">
        <v>27</v>
      </c>
      <c r="F8" s="18" t="s">
        <v>28</v>
      </c>
    </row>
    <row r="9" spans="2:8" x14ac:dyDescent="0.25">
      <c r="B9" s="19" t="s">
        <v>29</v>
      </c>
      <c r="C9" s="19"/>
      <c r="D9" s="20">
        <v>159</v>
      </c>
      <c r="F9" s="21">
        <v>159</v>
      </c>
    </row>
    <row r="10" spans="2:8" x14ac:dyDescent="0.25">
      <c r="B10" s="19" t="s">
        <v>30</v>
      </c>
      <c r="C10" s="19"/>
      <c r="D10" s="21">
        <v>162</v>
      </c>
      <c r="F10" s="21">
        <v>162</v>
      </c>
    </row>
    <row r="11" spans="2:8" x14ac:dyDescent="0.25">
      <c r="B11" s="19" t="s">
        <v>31</v>
      </c>
      <c r="C11" s="19"/>
      <c r="D11" s="22">
        <v>0.04</v>
      </c>
      <c r="F11" s="22">
        <v>0.04</v>
      </c>
    </row>
    <row r="12" spans="2:8" x14ac:dyDescent="0.25">
      <c r="B12" s="19" t="s">
        <v>32</v>
      </c>
      <c r="C12" s="19"/>
      <c r="D12" s="23">
        <v>0.25</v>
      </c>
      <c r="F12" s="23">
        <v>0.25</v>
      </c>
    </row>
    <row r="13" spans="2:8" x14ac:dyDescent="0.25">
      <c r="B13" s="24" t="s">
        <v>33</v>
      </c>
      <c r="C13" s="24"/>
      <c r="D13" s="25">
        <v>0.4</v>
      </c>
      <c r="F13" s="25">
        <v>0.4</v>
      </c>
    </row>
    <row r="14" spans="2:8" x14ac:dyDescent="0.25">
      <c r="D14" s="26"/>
      <c r="F14" s="26"/>
    </row>
    <row r="15" spans="2:8" x14ac:dyDescent="0.25">
      <c r="B15" s="27" t="s">
        <v>34</v>
      </c>
      <c r="C15" s="27"/>
      <c r="D15" s="13">
        <f>(LN(D9/D10)+(D11+D12*D12/2)*D13)/(D12*SQRT(D13))</f>
        <v>6.2030397339146053E-2</v>
      </c>
      <c r="F15" s="28">
        <f>(LN(F9/F10)+(F11+F12*F12/2)*F13)/(F12*SQRT(F13))</f>
        <v>6.2030397339146053E-2</v>
      </c>
      <c r="H15" t="s">
        <v>35</v>
      </c>
    </row>
    <row r="16" spans="2:8" x14ac:dyDescent="0.25">
      <c r="B16" s="27" t="s">
        <v>36</v>
      </c>
      <c r="C16" s="27"/>
      <c r="D16" s="13">
        <f>D15-D12*SQRT(D13)</f>
        <v>-9.6083485669272911E-2</v>
      </c>
      <c r="F16" s="13">
        <f>F15-F12*SQRT(F13)</f>
        <v>-9.6083485669272911E-2</v>
      </c>
      <c r="H16" t="s">
        <v>37</v>
      </c>
    </row>
    <row r="17" spans="2:11" x14ac:dyDescent="0.25">
      <c r="B17" s="27" t="s">
        <v>38</v>
      </c>
      <c r="D17" s="28">
        <f>NORMDIST(D15,0,1,FALSE)</f>
        <v>0.39817549912963496</v>
      </c>
      <c r="F17" s="28">
        <f>NORMDIST(F15,0,1,FALSE)</f>
        <v>0.39817549912963496</v>
      </c>
    </row>
    <row r="18" spans="2:11" x14ac:dyDescent="0.25">
      <c r="B18" s="27" t="s">
        <v>39</v>
      </c>
      <c r="C18" s="27"/>
      <c r="D18" s="28">
        <f>NORMDIST(D16,0,1,FALSE)</f>
        <v>0.39710499933426141</v>
      </c>
      <c r="F18" s="28">
        <f>NORMDIST(F16,0,1,FALSE)</f>
        <v>0.39710499933426141</v>
      </c>
    </row>
    <row r="19" spans="2:11" x14ac:dyDescent="0.25">
      <c r="B19" s="27" t="s">
        <v>40</v>
      </c>
      <c r="C19" s="27"/>
      <c r="D19" s="28">
        <f>NORMDIST(D15,0,1,TRUE)</f>
        <v>0.52473068748560725</v>
      </c>
      <c r="F19" s="28">
        <f>NORMDIST(F15,0,1,TRUE)</f>
        <v>0.52473068748560725</v>
      </c>
    </row>
    <row r="20" spans="2:11" x14ac:dyDescent="0.25">
      <c r="B20" s="27" t="s">
        <v>41</v>
      </c>
      <c r="C20" s="27"/>
      <c r="D20" s="28">
        <f>NORMDIST(D16,0,1,TRUE)</f>
        <v>0.46172713357227096</v>
      </c>
      <c r="F20" s="28">
        <f>NORMDIST(F16,0,1,TRUE)</f>
        <v>0.46172713357227096</v>
      </c>
    </row>
    <row r="21" spans="2:11" ht="15.75" thickBot="1" x14ac:dyDescent="0.3">
      <c r="B21" s="27"/>
      <c r="F21" s="28"/>
    </row>
    <row r="22" spans="2:11" ht="15.75" thickBot="1" x14ac:dyDescent="0.3">
      <c r="B22" s="29" t="s">
        <v>42</v>
      </c>
      <c r="C22" s="30">
        <f>D9</f>
        <v>159</v>
      </c>
      <c r="D22" s="31">
        <f>D10*EXP(-D11*D13)*NORMDIST(-D16,0,1,TRUE)-D9*NORMDIST(-D15,0,1,TRUE)</f>
        <v>10.248282736563127</v>
      </c>
      <c r="F22" s="30">
        <f>F9*NORMDIST(F15,0,1,TRUE)-F10*EXP(-F11*F13)*NORMDIST(F16,0,1,TRUE)</f>
        <v>9.8196568876069534</v>
      </c>
      <c r="H22" s="10" t="s">
        <v>43</v>
      </c>
      <c r="I22" s="32">
        <f>D22</f>
        <v>10.248282736563127</v>
      </c>
    </row>
    <row r="23" spans="2:11" ht="15.75" thickBot="1" x14ac:dyDescent="0.3">
      <c r="B23" s="33" t="s">
        <v>44</v>
      </c>
      <c r="C23" s="33">
        <v>1</v>
      </c>
      <c r="D23" s="34">
        <f>NORMDIST(D15,0,1,TRUE)-1</f>
        <v>-0.47526931251439275</v>
      </c>
      <c r="F23" s="35">
        <f>NORMDIST(F15,0,1,TRUE)</f>
        <v>0.52473068748560725</v>
      </c>
      <c r="H23" s="10" t="s">
        <v>45</v>
      </c>
      <c r="I23" s="32">
        <f>D23</f>
        <v>-0.47526931251439275</v>
      </c>
    </row>
    <row r="24" spans="2:11" x14ac:dyDescent="0.25">
      <c r="B24" s="36" t="s">
        <v>46</v>
      </c>
      <c r="C24" s="36">
        <v>0</v>
      </c>
      <c r="D24" s="37">
        <f>NORMDIST(D15,0,1,FALSE)/(D9*D12*SQRT(D13))</f>
        <v>1.5838257682063376E-2</v>
      </c>
      <c r="F24" s="55">
        <f>NORMDIST(F15,0,1,FALSE)/(F9*F12*SQRT(F13))</f>
        <v>1.5838257682063376E-2</v>
      </c>
    </row>
    <row r="26" spans="2:11" x14ac:dyDescent="0.25">
      <c r="B26" s="39" t="s">
        <v>58</v>
      </c>
      <c r="C26" s="40"/>
      <c r="D26" s="40"/>
      <c r="E26" s="40"/>
      <c r="F26" s="40"/>
      <c r="G26" s="40"/>
      <c r="H26" s="40"/>
      <c r="I26" s="40"/>
      <c r="J26" s="40"/>
      <c r="K26" s="40"/>
    </row>
    <row r="28" spans="2:11" x14ac:dyDescent="0.25">
      <c r="B28" s="41" t="s">
        <v>47</v>
      </c>
      <c r="C28" s="42" t="s">
        <v>59</v>
      </c>
      <c r="D28" s="42" t="s">
        <v>28</v>
      </c>
      <c r="F28" t="s">
        <v>43</v>
      </c>
      <c r="G28">
        <v>10.25</v>
      </c>
    </row>
    <row r="29" spans="2:11" x14ac:dyDescent="0.25">
      <c r="B29" s="43" t="s">
        <v>48</v>
      </c>
      <c r="C29" s="42">
        <v>300</v>
      </c>
      <c r="D29" s="59">
        <v>-400</v>
      </c>
      <c r="F29" t="s">
        <v>54</v>
      </c>
      <c r="G29" s="56">
        <f>F23-1</f>
        <v>-0.47526931251439275</v>
      </c>
    </row>
    <row r="30" spans="2:11" x14ac:dyDescent="0.25">
      <c r="B30" s="42" t="s">
        <v>42</v>
      </c>
      <c r="C30" s="42" t="s">
        <v>44</v>
      </c>
      <c r="D30" s="42" t="s">
        <v>46</v>
      </c>
      <c r="F30" t="s">
        <v>55</v>
      </c>
      <c r="G30" s="57">
        <f>D24</f>
        <v>1.5838257682063376E-2</v>
      </c>
    </row>
    <row r="31" spans="2:11" x14ac:dyDescent="0.25">
      <c r="B31" s="47">
        <f>C29*C22+D29*F22</f>
        <v>43772.137244957215</v>
      </c>
      <c r="C31" s="45">
        <f>C29+D29*F23</f>
        <v>90.107725005757089</v>
      </c>
      <c r="D31" s="46">
        <f>D29*F24</f>
        <v>-6.3353030728253508</v>
      </c>
    </row>
    <row r="32" spans="2:11" x14ac:dyDescent="0.25">
      <c r="B32" s="2"/>
    </row>
    <row r="33" spans="2:11" x14ac:dyDescent="0.25">
      <c r="B33" s="2"/>
    </row>
    <row r="34" spans="2:11" x14ac:dyDescent="0.25">
      <c r="B34" s="39" t="s">
        <v>117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2:11" x14ac:dyDescent="0.25">
      <c r="B35" s="39" t="s">
        <v>49</v>
      </c>
      <c r="C35" s="40"/>
      <c r="D35" s="40"/>
      <c r="E35" s="40"/>
      <c r="F35" s="40"/>
      <c r="G35" s="40"/>
      <c r="H35" s="40"/>
      <c r="I35" s="40"/>
      <c r="J35" s="40"/>
      <c r="K35" s="40"/>
    </row>
    <row r="37" spans="2:11" x14ac:dyDescent="0.25">
      <c r="B37" s="48" t="s">
        <v>50</v>
      </c>
    </row>
    <row r="38" spans="2:11" ht="15.75" thickBot="1" x14ac:dyDescent="0.3">
      <c r="B38" s="41" t="s">
        <v>47</v>
      </c>
      <c r="C38" s="49" t="s">
        <v>26</v>
      </c>
      <c r="D38" s="49" t="s">
        <v>43</v>
      </c>
      <c r="E38" s="49" t="s">
        <v>28</v>
      </c>
      <c r="F38" t="s">
        <v>60</v>
      </c>
    </row>
    <row r="39" spans="2:11" ht="15.75" thickBot="1" x14ac:dyDescent="0.3">
      <c r="B39" s="50" t="s">
        <v>51</v>
      </c>
      <c r="C39" s="51">
        <f>-(D39*G29+E39*F23)</f>
        <v>400</v>
      </c>
      <c r="D39" s="52">
        <f>-D31/G30</f>
        <v>400</v>
      </c>
      <c r="E39" s="52">
        <f>D29</f>
        <v>-400</v>
      </c>
      <c r="F39" t="s">
        <v>56</v>
      </c>
    </row>
    <row r="40" spans="2:11" x14ac:dyDescent="0.25">
      <c r="B40" s="42" t="s">
        <v>42</v>
      </c>
      <c r="C40" s="53" t="s">
        <v>44</v>
      </c>
      <c r="D40" s="53" t="s">
        <v>46</v>
      </c>
    </row>
    <row r="41" spans="2:11" x14ac:dyDescent="0.25">
      <c r="B41" s="44">
        <f>C39*C22+D39*D22+E39*F22</f>
        <v>63771.450339582465</v>
      </c>
      <c r="C41" s="44">
        <f>C39+D39*D23+E39*F23</f>
        <v>0</v>
      </c>
      <c r="D41" s="44">
        <f>D39*G30+E39*F24</f>
        <v>0</v>
      </c>
    </row>
    <row r="42" spans="2:11" x14ac:dyDescent="0.25">
      <c r="F42" t="s">
        <v>61</v>
      </c>
    </row>
    <row r="44" spans="2:11" x14ac:dyDescent="0.25">
      <c r="F4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3" workbookViewId="0">
      <selection activeCell="A35" sqref="A35"/>
    </sheetView>
  </sheetViews>
  <sheetFormatPr baseColWidth="10" defaultRowHeight="15" x14ac:dyDescent="0.25"/>
  <sheetData>
    <row r="1" spans="1:9" x14ac:dyDescent="0.25">
      <c r="A1" s="1" t="s">
        <v>93</v>
      </c>
    </row>
    <row r="3" spans="1:9" x14ac:dyDescent="0.25">
      <c r="B3" t="s">
        <v>78</v>
      </c>
    </row>
    <row r="4" spans="1:9" x14ac:dyDescent="0.25">
      <c r="B4" t="s">
        <v>79</v>
      </c>
    </row>
    <row r="6" spans="1:9" x14ac:dyDescent="0.25">
      <c r="C6" t="s">
        <v>80</v>
      </c>
      <c r="D6" s="76">
        <v>0.2</v>
      </c>
    </row>
    <row r="8" spans="1:9" x14ac:dyDescent="0.25">
      <c r="B8" s="18" t="s">
        <v>28</v>
      </c>
      <c r="D8" s="18" t="s">
        <v>28</v>
      </c>
      <c r="E8" s="18" t="s">
        <v>28</v>
      </c>
      <c r="G8" s="77" t="s">
        <v>81</v>
      </c>
    </row>
    <row r="9" spans="1:9" x14ac:dyDescent="0.25">
      <c r="A9" t="s">
        <v>70</v>
      </c>
      <c r="B9" s="21">
        <v>118</v>
      </c>
      <c r="D9" s="21">
        <v>118</v>
      </c>
      <c r="E9" s="21">
        <v>118</v>
      </c>
      <c r="H9" t="s">
        <v>82</v>
      </c>
    </row>
    <row r="10" spans="1:9" x14ac:dyDescent="0.25">
      <c r="A10" t="s">
        <v>71</v>
      </c>
      <c r="B10" s="21">
        <v>118</v>
      </c>
      <c r="D10" s="21">
        <v>118</v>
      </c>
      <c r="E10" s="21">
        <v>118</v>
      </c>
    </row>
    <row r="11" spans="1:9" x14ac:dyDescent="0.25">
      <c r="A11" t="s">
        <v>72</v>
      </c>
      <c r="B11" s="22">
        <v>0.04</v>
      </c>
      <c r="D11" s="22">
        <v>0.04</v>
      </c>
      <c r="E11" s="22">
        <v>0.04</v>
      </c>
    </row>
    <row r="12" spans="1:9" x14ac:dyDescent="0.25">
      <c r="A12" t="s">
        <v>73</v>
      </c>
      <c r="B12" s="75">
        <v>0.25</v>
      </c>
      <c r="D12" s="23">
        <v>0.2</v>
      </c>
      <c r="E12" s="23">
        <v>0.3</v>
      </c>
    </row>
    <row r="13" spans="1:9" x14ac:dyDescent="0.25">
      <c r="A13" t="s">
        <v>74</v>
      </c>
      <c r="B13" s="25">
        <v>0.4</v>
      </c>
      <c r="D13" s="25">
        <v>0.4</v>
      </c>
      <c r="E13" s="25">
        <v>0.4</v>
      </c>
    </row>
    <row r="14" spans="1:9" x14ac:dyDescent="0.25">
      <c r="B14" s="26"/>
      <c r="D14" s="26"/>
      <c r="E14" s="26"/>
    </row>
    <row r="15" spans="1:9" ht="15.75" thickBot="1" x14ac:dyDescent="0.3">
      <c r="A15" t="s">
        <v>34</v>
      </c>
      <c r="B15" s="73">
        <f>(LN(B9/B10)+(B11+B12*B12/2)*B13)/(B12*SQRT(B13))</f>
        <v>0.18024982662959765</v>
      </c>
      <c r="D15" s="28">
        <f>(LN(D9/D10)+(D11+D12*D12/2)*D13)/(D12*SQRT(D13))</f>
        <v>0.18973665961010275</v>
      </c>
      <c r="E15" s="28">
        <f>(LN(E9/E10)+(E11+E12*E12/2)*E13)/(E12*SQRT(E13))</f>
        <v>0.17919573407620815</v>
      </c>
    </row>
    <row r="16" spans="1:9" ht="15.75" thickBot="1" x14ac:dyDescent="0.3">
      <c r="A16" t="s">
        <v>36</v>
      </c>
      <c r="B16" s="74">
        <f>B15-B12*SQRT(B13)</f>
        <v>2.2135943621178683E-2</v>
      </c>
      <c r="D16" s="13">
        <f>D15-D12*SQRT(D13)</f>
        <v>6.3245553203367555E-2</v>
      </c>
      <c r="E16" s="13">
        <f>E15-E12*SQRT(E13)</f>
        <v>-1.0540925533894602E-2</v>
      </c>
      <c r="G16" s="87" t="s">
        <v>83</v>
      </c>
      <c r="H16" s="88"/>
      <c r="I16" s="89"/>
    </row>
    <row r="17" spans="1:14" x14ac:dyDescent="0.25">
      <c r="A17" t="s">
        <v>38</v>
      </c>
      <c r="B17" s="73">
        <f>NORMDIST(B15,0,1,FALSE)</f>
        <v>0.39251381960112064</v>
      </c>
      <c r="D17" s="28">
        <f>NORMDIST(D15,0,1,FALSE)</f>
        <v>0.39182556197044582</v>
      </c>
      <c r="E17" s="28">
        <f>NORMDIST(E15,0,1,FALSE)</f>
        <v>0.39258818620755959</v>
      </c>
    </row>
    <row r="18" spans="1:14" x14ac:dyDescent="0.25">
      <c r="A18" t="s">
        <v>39</v>
      </c>
      <c r="B18" s="73">
        <f>NORMDIST(B16,0,1,FALSE)</f>
        <v>0.3988445515150118</v>
      </c>
      <c r="D18" s="28">
        <f>NORMDIST(D16,0,1,FALSE)</f>
        <v>0.39814519319353348</v>
      </c>
      <c r="E18" s="28">
        <f>NORMDIST(E16,0,1,FALSE)</f>
        <v>0.3989201175570507</v>
      </c>
      <c r="H18" t="s">
        <v>73</v>
      </c>
      <c r="I18" t="s">
        <v>75</v>
      </c>
    </row>
    <row r="19" spans="1:14" x14ac:dyDescent="0.25">
      <c r="A19" t="s">
        <v>40</v>
      </c>
      <c r="B19" s="73">
        <f>NORMDIST(B15,0,1,TRUE)</f>
        <v>0.57152177851242447</v>
      </c>
      <c r="D19" s="28">
        <f>NORMDIST(D15,0,1,TRUE)</f>
        <v>0.57524225381748262</v>
      </c>
      <c r="E19" s="28">
        <f>NORMDIST(E15,0,1,TRUE)</f>
        <v>0.57110799338636142</v>
      </c>
      <c r="H19" s="26">
        <v>0.2</v>
      </c>
      <c r="I19">
        <v>6.8869999999999996</v>
      </c>
    </row>
    <row r="20" spans="1:14" x14ac:dyDescent="0.25">
      <c r="A20" t="s">
        <v>41</v>
      </c>
      <c r="B20" s="73">
        <f>NORMDIST(B16,0,1,TRUE)</f>
        <v>0.50883024268469612</v>
      </c>
      <c r="D20" s="28">
        <f>NORMDIST(D16,0,1,TRUE)</f>
        <v>0.52521451442444744</v>
      </c>
      <c r="E20" s="28">
        <f>NORMDIST(E16,0,1,TRUE)</f>
        <v>0.49579485700312909</v>
      </c>
      <c r="H20" s="78" t="s">
        <v>84</v>
      </c>
      <c r="I20">
        <v>8.3506</v>
      </c>
    </row>
    <row r="21" spans="1:14" x14ac:dyDescent="0.25">
      <c r="B21" s="28"/>
      <c r="D21" s="28"/>
      <c r="E21" s="28"/>
      <c r="H21" s="26">
        <v>0.3</v>
      </c>
      <c r="I21">
        <v>9.8160000000000007</v>
      </c>
    </row>
    <row r="22" spans="1:14" x14ac:dyDescent="0.25">
      <c r="A22" t="s">
        <v>75</v>
      </c>
      <c r="B22" s="54">
        <f>B9*NORMDIST(B15,0,1,TRUE)-B10*EXP(-B11*B13)*NORMDIST(B16,0,1,TRUE)</f>
        <v>8.350628179094393</v>
      </c>
      <c r="D22" s="54">
        <f>D9*NORMDIST(D15,0,1,TRUE)-D10*EXP(-D11*D13)*NORMDIST(D16,0,1,TRUE)</f>
        <v>6.8869875513719592</v>
      </c>
      <c r="E22" s="54">
        <f>E9*NORMDIST(E15,0,1,TRUE)-E10*EXP(-E11*E13)*NORMDIST(E16,0,1,TRUE)</f>
        <v>9.8155620770680798</v>
      </c>
    </row>
    <row r="23" spans="1:14" x14ac:dyDescent="0.25">
      <c r="A23" t="s">
        <v>76</v>
      </c>
      <c r="B23" s="71">
        <f>NORMDIST(B15,0,1,TRUE)</f>
        <v>0.57152177851242447</v>
      </c>
      <c r="D23" s="35">
        <f>NORMDIST(D15,0,1,TRUE)</f>
        <v>0.57524225381748262</v>
      </c>
      <c r="E23" s="35">
        <f>NORMDIST(E15,0,1,TRUE)</f>
        <v>0.57110799338636142</v>
      </c>
      <c r="H23" s="79" t="s">
        <v>85</v>
      </c>
    </row>
    <row r="24" spans="1:14" ht="15.75" thickBot="1" x14ac:dyDescent="0.3">
      <c r="A24" t="s">
        <v>77</v>
      </c>
      <c r="B24" s="72">
        <f>NORMDIST(B15,0,1,FALSE)/(B9*B12*SQRT(B13))</f>
        <v>2.1037926831050595E-2</v>
      </c>
      <c r="D24" s="38">
        <f>NORMDIST(D15,0,1,FALSE)/(D9*D12*SQRT(D13))</f>
        <v>2.6251297061484359E-2</v>
      </c>
      <c r="E24" s="38">
        <f>NORMDIST(E15,0,1,FALSE)/(E9*E12*SQRT(E13))</f>
        <v>1.7534927272460303E-2</v>
      </c>
    </row>
    <row r="25" spans="1:14" ht="15.75" thickBot="1" x14ac:dyDescent="0.3">
      <c r="G25" s="80" t="s">
        <v>84</v>
      </c>
      <c r="H25" s="81">
        <f>20%+(30%-20%)*((9.816-8.351)/(9.816-6.887))</f>
        <v>0.2500170706725845</v>
      </c>
    </row>
    <row r="27" spans="1:14" x14ac:dyDescent="0.25">
      <c r="A27" s="9" t="s">
        <v>118</v>
      </c>
    </row>
    <row r="28" spans="1:14" x14ac:dyDescent="0.25">
      <c r="B28" s="78" t="s">
        <v>86</v>
      </c>
      <c r="C28" s="76">
        <v>0.27</v>
      </c>
      <c r="E28" s="18" t="s">
        <v>28</v>
      </c>
    </row>
    <row r="29" spans="1:14" x14ac:dyDescent="0.25">
      <c r="B29" t="s">
        <v>87</v>
      </c>
      <c r="C29" s="10">
        <v>117</v>
      </c>
      <c r="E29" s="21">
        <v>117</v>
      </c>
    </row>
    <row r="30" spans="1:14" ht="15.75" thickBot="1" x14ac:dyDescent="0.3">
      <c r="E30" s="21">
        <v>118</v>
      </c>
      <c r="G30" s="10" t="s">
        <v>88</v>
      </c>
      <c r="H30" s="10"/>
      <c r="I30" s="82" t="s">
        <v>89</v>
      </c>
    </row>
    <row r="31" spans="1:14" ht="15.75" thickBot="1" x14ac:dyDescent="0.3">
      <c r="E31" s="22">
        <v>0.04</v>
      </c>
      <c r="G31" s="14">
        <f>B22</f>
        <v>8.350628179094393</v>
      </c>
      <c r="I31" s="54">
        <f>E29*NORMDIST(E35,0,1,TRUE)-E30*EXP(-E31*E33)*NORMDIST(E36,0,1,TRUE)</f>
        <v>8.3752987268970358</v>
      </c>
      <c r="K31" t="s">
        <v>90</v>
      </c>
      <c r="N31" s="83">
        <f>I31-G31</f>
        <v>2.4670547802642773E-2</v>
      </c>
    </row>
    <row r="32" spans="1:14" x14ac:dyDescent="0.25">
      <c r="E32" s="23">
        <v>0.27</v>
      </c>
      <c r="I32" s="35">
        <f>NORMDIST(E35,0,1,TRUE)</f>
        <v>0.55141589762389542</v>
      </c>
    </row>
    <row r="33" spans="2:9" x14ac:dyDescent="0.25">
      <c r="E33" s="25">
        <v>0.4</v>
      </c>
      <c r="I33" s="38">
        <f>NORMDIST(E35,0,1,FALSE)/(E29*E32*SQRT(E33))</f>
        <v>1.980174535390105E-2</v>
      </c>
    </row>
    <row r="34" spans="2:9" x14ac:dyDescent="0.25">
      <c r="E34" s="26"/>
    </row>
    <row r="35" spans="2:9" x14ac:dyDescent="0.25">
      <c r="E35" s="28">
        <f>(LN(E29/E30)+(E31+E32*E32/2)*E33)/(E32*SQRT(E33))</f>
        <v>0.12923942044165884</v>
      </c>
    </row>
    <row r="36" spans="2:9" x14ac:dyDescent="0.25">
      <c r="E36" s="13">
        <f>E35-E32*SQRT(E33)</f>
        <v>-4.1523573207433662E-2</v>
      </c>
    </row>
    <row r="37" spans="2:9" x14ac:dyDescent="0.25">
      <c r="E37" s="28">
        <f>NORMDIST(E35,0,1,FALSE)</f>
        <v>0.39562442198477082</v>
      </c>
    </row>
    <row r="38" spans="2:9" x14ac:dyDescent="0.25">
      <c r="E38" s="28">
        <f>NORMDIST(E36,0,1,FALSE)</f>
        <v>0.39859849904774541</v>
      </c>
    </row>
    <row r="39" spans="2:9" x14ac:dyDescent="0.25">
      <c r="E39" s="28">
        <f>NORMDIST(E35,0,1,TRUE)</f>
        <v>0.55141589762389542</v>
      </c>
    </row>
    <row r="40" spans="2:9" x14ac:dyDescent="0.25">
      <c r="E40" s="28">
        <f>NORMDIST(E36,0,1,TRUE)</f>
        <v>0.48343925017806677</v>
      </c>
    </row>
    <row r="41" spans="2:9" x14ac:dyDescent="0.25">
      <c r="E41" s="28"/>
    </row>
    <row r="42" spans="2:9" x14ac:dyDescent="0.25">
      <c r="B42" t="s">
        <v>91</v>
      </c>
    </row>
    <row r="43" spans="2:9" ht="18" x14ac:dyDescent="0.35">
      <c r="C43" t="s">
        <v>92</v>
      </c>
    </row>
  </sheetData>
  <mergeCells count="1">
    <mergeCell ref="G16:I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6"/>
  <sheetViews>
    <sheetView workbookViewId="0">
      <selection activeCell="A4" sqref="A4"/>
    </sheetView>
  </sheetViews>
  <sheetFormatPr baseColWidth="10" defaultRowHeight="15" x14ac:dyDescent="0.25"/>
  <cols>
    <col min="3" max="3" width="14.140625" customWidth="1"/>
  </cols>
  <sheetData>
    <row r="2" spans="1:6" x14ac:dyDescent="0.25">
      <c r="A2" s="1" t="s">
        <v>94</v>
      </c>
    </row>
    <row r="3" spans="1:6" x14ac:dyDescent="0.25">
      <c r="B3" s="2" t="s">
        <v>96</v>
      </c>
    </row>
    <row r="4" spans="1:6" x14ac:dyDescent="0.25">
      <c r="B4" s="2" t="s">
        <v>97</v>
      </c>
    </row>
    <row r="5" spans="1:6" x14ac:dyDescent="0.25">
      <c r="B5" s="2"/>
    </row>
    <row r="6" spans="1:6" x14ac:dyDescent="0.25">
      <c r="B6" s="2" t="s">
        <v>95</v>
      </c>
    </row>
    <row r="9" spans="1:6" x14ac:dyDescent="0.25">
      <c r="A9" s="9" t="s">
        <v>104</v>
      </c>
    </row>
    <row r="16" spans="1:6" x14ac:dyDescent="0.25">
      <c r="C16" t="s">
        <v>98</v>
      </c>
      <c r="D16" s="56">
        <f>50*((2.8%-2.6%)/12)/(1+2.8%/12)</f>
        <v>8.31393415364148E-3</v>
      </c>
      <c r="F16" t="s">
        <v>99</v>
      </c>
    </row>
    <row r="17" spans="1:6" x14ac:dyDescent="0.25">
      <c r="C17" t="s">
        <v>103</v>
      </c>
      <c r="D17" s="56">
        <f>50*((2.8%-2.6%)/4)/(1+2.8%/4)</f>
        <v>2.4826216484607685E-2</v>
      </c>
      <c r="F17" t="s">
        <v>100</v>
      </c>
    </row>
    <row r="18" spans="1:6" x14ac:dyDescent="0.25">
      <c r="D18" s="56">
        <f>50*((2.8%-2.6%)/2)/(1+2.8%/2)</f>
        <v>4.9309664694279949E-2</v>
      </c>
      <c r="F18" t="s">
        <v>101</v>
      </c>
    </row>
    <row r="19" spans="1:6" x14ac:dyDescent="0.25">
      <c r="D19" s="56">
        <f>50*((2.8%-2.6%))/(1+2.8%)</f>
        <v>9.727626459143944E-2</v>
      </c>
      <c r="F19" t="s">
        <v>102</v>
      </c>
    </row>
    <row r="22" spans="1:6" x14ac:dyDescent="0.25">
      <c r="A22" s="9" t="s">
        <v>105</v>
      </c>
      <c r="C22" t="s">
        <v>106</v>
      </c>
      <c r="D22" s="84">
        <v>4130</v>
      </c>
    </row>
    <row r="23" spans="1:6" x14ac:dyDescent="0.25">
      <c r="C23" t="s">
        <v>109</v>
      </c>
      <c r="D23" s="85">
        <f>1/12</f>
        <v>8.3333333333333329E-2</v>
      </c>
    </row>
    <row r="24" spans="1:6" x14ac:dyDescent="0.25">
      <c r="C24" t="s">
        <v>107</v>
      </c>
      <c r="E24" s="61" t="s">
        <v>108</v>
      </c>
    </row>
    <row r="26" spans="1:6" x14ac:dyDescent="0.25">
      <c r="C26" t="s">
        <v>110</v>
      </c>
    </row>
    <row r="27" spans="1:6" x14ac:dyDescent="0.25">
      <c r="D27" t="s">
        <v>111</v>
      </c>
      <c r="E27" s="3">
        <v>4.0000000000000001E-3</v>
      </c>
    </row>
    <row r="28" spans="1:6" x14ac:dyDescent="0.25">
      <c r="D28" t="s">
        <v>112</v>
      </c>
      <c r="E28" s="3">
        <v>6.0000000000000001E-3</v>
      </c>
    </row>
    <row r="29" spans="1:6" x14ac:dyDescent="0.25">
      <c r="D29" t="s">
        <v>113</v>
      </c>
      <c r="F29" t="s">
        <v>114</v>
      </c>
    </row>
    <row r="31" spans="1:6" x14ac:dyDescent="0.25">
      <c r="C31" s="10" t="s">
        <v>115</v>
      </c>
      <c r="D31" s="10" t="s">
        <v>116</v>
      </c>
    </row>
    <row r="32" spans="1:6" x14ac:dyDescent="0.25">
      <c r="C32" s="3">
        <v>0</v>
      </c>
      <c r="D32" s="86">
        <f>$D$22*EXP(C32*$D$23)</f>
        <v>4130</v>
      </c>
    </row>
    <row r="33" spans="3:6" x14ac:dyDescent="0.25">
      <c r="C33" s="3">
        <v>1E-3</v>
      </c>
      <c r="D33" s="11">
        <f t="shared" ref="D33:D36" si="0">$D$22*EXP(C33*$D$23)</f>
        <v>4130.3441810073427</v>
      </c>
    </row>
    <row r="34" spans="3:6" x14ac:dyDescent="0.25">
      <c r="C34" s="3">
        <v>2E-3</v>
      </c>
      <c r="D34" s="11">
        <f t="shared" si="0"/>
        <v>4130.6883906976309</v>
      </c>
      <c r="F34" s="56">
        <f>'Exo 4'!D17</f>
        <v>2.4826216484607685E-2</v>
      </c>
    </row>
    <row r="35" spans="3:6" x14ac:dyDescent="0.25">
      <c r="C35" s="3">
        <v>3.0000000000000001E-3</v>
      </c>
      <c r="D35" s="11">
        <f t="shared" si="0"/>
        <v>4131.0326290732564</v>
      </c>
    </row>
    <row r="36" spans="3:6" x14ac:dyDescent="0.25">
      <c r="C36" s="3">
        <v>4.0000000000000001E-3</v>
      </c>
      <c r="D36" s="86">
        <f t="shared" si="0"/>
        <v>4131.3768961366077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4097" r:id="rId3">
          <objectPr defaultSize="0" autoPict="0" r:id="rId4">
            <anchor moveWithCells="1" sizeWithCells="1">
              <from>
                <xdr:col>2</xdr:col>
                <xdr:colOff>19050</xdr:colOff>
                <xdr:row>7</xdr:row>
                <xdr:rowOff>28575</xdr:rowOff>
              </from>
              <to>
                <xdr:col>7</xdr:col>
                <xdr:colOff>600075</xdr:colOff>
                <xdr:row>13</xdr:row>
                <xdr:rowOff>57150</xdr:rowOff>
              </to>
            </anchor>
          </objectPr>
        </oleObject>
      </mc:Choice>
      <mc:Fallback>
        <oleObject progId="Equation.DSMT4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Exo 1</vt:lpstr>
      <vt:lpstr>Exo 2</vt:lpstr>
      <vt:lpstr>Exo 3</vt:lpstr>
      <vt:lpstr>Exo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FRANCOIS-HEUDE</dc:creator>
  <cp:lastModifiedBy>AFH</cp:lastModifiedBy>
  <dcterms:created xsi:type="dcterms:W3CDTF">2013-12-08T18:49:43Z</dcterms:created>
  <dcterms:modified xsi:type="dcterms:W3CDTF">2014-11-08T08:26:16Z</dcterms:modified>
</cp:coreProperties>
</file>