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Corrige" sheetId="1" r:id="rId1"/>
    <sheet name="Feuil4" sheetId="4" r:id="rId2"/>
  </sheets>
  <calcPr calcId="145621"/>
</workbook>
</file>

<file path=xl/calcChain.xml><?xml version="1.0" encoding="utf-8"?>
<calcChain xmlns="http://schemas.openxmlformats.org/spreadsheetml/2006/main">
  <c r="C11" i="1" l="1"/>
  <c r="D25" i="1"/>
  <c r="E21" i="1"/>
  <c r="C21" i="4" l="1"/>
  <c r="C59" i="1"/>
  <c r="D60" i="1"/>
  <c r="D98" i="1"/>
  <c r="C60" i="1"/>
  <c r="D59" i="1"/>
  <c r="H132" i="1"/>
  <c r="D130" i="1"/>
  <c r="G122" i="1"/>
  <c r="F122" i="1"/>
  <c r="E122" i="1"/>
  <c r="D122" i="1"/>
  <c r="F119" i="1"/>
  <c r="D119" i="1"/>
  <c r="G114" i="1"/>
  <c r="F114" i="1"/>
  <c r="E114" i="1"/>
  <c r="D114" i="1"/>
  <c r="D111" i="1"/>
  <c r="N112" i="1"/>
  <c r="G106" i="1"/>
  <c r="F106" i="1"/>
  <c r="E106" i="1"/>
  <c r="D106" i="1"/>
  <c r="L112" i="1"/>
  <c r="E119" i="1"/>
  <c r="E111" i="1"/>
  <c r="M109" i="1"/>
  <c r="N103" i="1"/>
  <c r="F96" i="1"/>
  <c r="F98" i="1" s="1"/>
  <c r="E98" i="1"/>
  <c r="E96" i="1"/>
  <c r="D96" i="1"/>
  <c r="E85" i="1"/>
  <c r="C82" i="1"/>
  <c r="E86" i="1" s="1"/>
  <c r="E87" i="1" s="1"/>
  <c r="I53" i="1"/>
  <c r="D54" i="1" s="1"/>
  <c r="H53" i="1"/>
  <c r="C54" i="1" s="1"/>
  <c r="C49" i="1"/>
  <c r="M114" i="1" l="1"/>
  <c r="M113" i="1"/>
  <c r="N109" i="1"/>
  <c r="N115" i="1" s="1"/>
  <c r="M110" i="1"/>
  <c r="M115" i="1"/>
  <c r="I82" i="1"/>
  <c r="M112" i="1" l="1"/>
  <c r="N114" i="1"/>
  <c r="N113" i="1"/>
  <c r="N110" i="1"/>
  <c r="J36" i="1"/>
  <c r="L38" i="1" s="1"/>
  <c r="M38" i="1" s="1"/>
  <c r="E37" i="1"/>
  <c r="F37" i="1" s="1"/>
  <c r="E22" i="1"/>
  <c r="H31" i="1" s="1"/>
  <c r="E23" i="1" l="1"/>
  <c r="D31" i="1" s="1"/>
  <c r="L37" i="1"/>
  <c r="M37" i="1" s="1"/>
  <c r="K25" i="1"/>
  <c r="K31" i="1" s="1"/>
  <c r="E38" i="1"/>
  <c r="F38" i="1" s="1"/>
</calcChain>
</file>

<file path=xl/sharedStrings.xml><?xml version="1.0" encoding="utf-8"?>
<sst xmlns="http://schemas.openxmlformats.org/spreadsheetml/2006/main" count="172" uniqueCount="125">
  <si>
    <t>UM2 IAE M2 FIN 2014-2015      Pr. Alain FRANCOIS-HEUDE</t>
  </si>
  <si>
    <t>Examen terminal en ANALYSE FINANCIERE DES RISQUES</t>
  </si>
  <si>
    <t>Exercice N° 1</t>
  </si>
  <si>
    <t>S =</t>
  </si>
  <si>
    <t>E =</t>
  </si>
  <si>
    <t xml:space="preserve">r = </t>
  </si>
  <si>
    <t>T =</t>
  </si>
  <si>
    <t>d1 =</t>
  </si>
  <si>
    <t>Q01 : Prix du CALL</t>
  </si>
  <si>
    <r>
      <t xml:space="preserve">Recherche de la valeur de la volatilité </t>
    </r>
    <r>
      <rPr>
        <sz val="11"/>
        <color theme="1"/>
        <rFont val="Calibri"/>
        <family val="2"/>
      </rPr>
      <t>σ</t>
    </r>
  </si>
  <si>
    <t>lecture  N(d1) dans table</t>
  </si>
  <si>
    <t xml:space="preserve">calcul de d2 = </t>
  </si>
  <si>
    <t>lecture  N(d2) dans table</t>
  </si>
  <si>
    <t>Call =</t>
  </si>
  <si>
    <t>si la seconde racine est retenue (σ = 175%) alors le call vaut</t>
  </si>
  <si>
    <t>Q02 : Prix du PUT</t>
  </si>
  <si>
    <t xml:space="preserve">Relation de parité </t>
  </si>
  <si>
    <t>PUT =</t>
  </si>
  <si>
    <t>avec le calcul direct du PUT</t>
  </si>
  <si>
    <t>si σ = 175%</t>
  </si>
  <si>
    <t>verification</t>
  </si>
  <si>
    <t>σ = 25%</t>
  </si>
  <si>
    <t>σ = 175%</t>
  </si>
  <si>
    <t xml:space="preserve">Delta </t>
  </si>
  <si>
    <t>CALL</t>
  </si>
  <si>
    <t>PUT</t>
  </si>
  <si>
    <t>∆</t>
  </si>
  <si>
    <t>Gamma</t>
  </si>
  <si>
    <t>lecture  f(d1) dans table</t>
  </si>
  <si>
    <t>Q03 : Delta et Gamma du CALL et du PUT</t>
  </si>
  <si>
    <t>Exercice N° 2</t>
  </si>
  <si>
    <t>GBP-EUR Fwd 3m</t>
  </si>
  <si>
    <t>BID</t>
  </si>
  <si>
    <t>ASK</t>
  </si>
  <si>
    <t>MID</t>
  </si>
  <si>
    <t>Taux £ spot 3m</t>
  </si>
  <si>
    <t>Taux € spot 3m</t>
  </si>
  <si>
    <t>Offert</t>
  </si>
  <si>
    <t>Demandé</t>
  </si>
  <si>
    <t>Moyen</t>
  </si>
  <si>
    <t>Q04 : Change Fwd 3 mois pour CHF-EUR en Mid</t>
  </si>
  <si>
    <t xml:space="preserve">CHF-EUR Fwd 3m </t>
  </si>
  <si>
    <t>GBP-CHF Fwd 3m</t>
  </si>
  <si>
    <t xml:space="preserve">    CHF --&gt; GBP  --&gt;  EUR</t>
  </si>
  <si>
    <t>CHF-GBP</t>
  </si>
  <si>
    <t>Q05 : Change Fwd 3 mois pour CHF-EUR en Bid-Ask</t>
  </si>
  <si>
    <t>Q06 : Change Spot pour GBP-EUR et GBP-CHF en Bid-Ask</t>
  </si>
  <si>
    <t>GBP-EUR Spot</t>
  </si>
  <si>
    <t>GBP-CHF Spot</t>
  </si>
  <si>
    <t>Taux CHF spot 3m</t>
  </si>
  <si>
    <t>Exercice N° 3</t>
  </si>
  <si>
    <t>Q = x S + y C + z P</t>
  </si>
  <si>
    <t>Titres</t>
  </si>
  <si>
    <t>S</t>
  </si>
  <si>
    <t>σ =</t>
  </si>
  <si>
    <t>N(d1) =</t>
  </si>
  <si>
    <t>N(d2) =</t>
  </si>
  <si>
    <t>Г</t>
  </si>
  <si>
    <r>
      <t>Г</t>
    </r>
    <r>
      <rPr>
        <vertAlign val="subscript"/>
        <sz val="11"/>
        <color theme="1"/>
        <rFont val="Calibri"/>
        <family val="2"/>
        <scheme val="minor"/>
      </rPr>
      <t>C</t>
    </r>
  </si>
  <si>
    <t xml:space="preserve">avec </t>
  </si>
  <si>
    <t>Port(Qté)</t>
  </si>
  <si>
    <t>Port(Val)</t>
  </si>
  <si>
    <t>Q07 : Composition du portefeuille et anticipation</t>
  </si>
  <si>
    <t>CALL =</t>
  </si>
  <si>
    <t>Val(Port) = 0 ==&gt;  Nb Call = 40 S / Call</t>
  </si>
  <si>
    <t>Composition</t>
  </si>
  <si>
    <t>Call</t>
  </si>
  <si>
    <t>Valeur</t>
  </si>
  <si>
    <t>Anticipation</t>
  </si>
  <si>
    <t>Directionnelle --&gt;  Baisse du cours attendue car vente de Call  (voir le signe du delta du portefeuille)</t>
  </si>
  <si>
    <t>Volatiliste --&gt;  Baisse de volatilité attendue car vente d'option  (voir le signe du vega du portefeuille)</t>
  </si>
  <si>
    <t>Q08 : Delta et Gamma du portefeuille</t>
  </si>
  <si>
    <t>Qté</t>
  </si>
  <si>
    <t>Delta</t>
  </si>
  <si>
    <t>C</t>
  </si>
  <si>
    <t>Q</t>
  </si>
  <si>
    <t>Vega</t>
  </si>
  <si>
    <t>Q09 : Portefeuille en Delta-Gamma neutre</t>
  </si>
  <si>
    <t>MARCHE</t>
  </si>
  <si>
    <t>Titre</t>
  </si>
  <si>
    <t xml:space="preserve">CALL </t>
  </si>
  <si>
    <t xml:space="preserve">PUT </t>
  </si>
  <si>
    <t>prix en 0</t>
  </si>
  <si>
    <t>prix d'Exercice</t>
  </si>
  <si>
    <t>taux d'intérêt/an</t>
  </si>
  <si>
    <t>volatilité/an</t>
  </si>
  <si>
    <t>écheance (en année)</t>
  </si>
  <si>
    <t>d1</t>
  </si>
  <si>
    <t>d2</t>
  </si>
  <si>
    <t>Véga</t>
  </si>
  <si>
    <t>Quantité détenue</t>
  </si>
  <si>
    <t>Portefeuille Q0</t>
  </si>
  <si>
    <t>Portefeuille en  delta neutre ?</t>
  </si>
  <si>
    <t>Portefeuille Q1</t>
  </si>
  <si>
    <t>Nb Titres = - delta de Q</t>
  </si>
  <si>
    <t>Portefeuille en  delta-gamma  neutre ?</t>
  </si>
  <si>
    <t xml:space="preserve">avec PUT </t>
  </si>
  <si>
    <t>Nb Titres =Nb initial  - [ delta de Q + (- gamma Q / gamma Put)*delta P ]</t>
  </si>
  <si>
    <t>Portefeuille Q2</t>
  </si>
  <si>
    <t>Nb Put C = - gamma Q initial / gamma Put</t>
  </si>
  <si>
    <t>Exercice N° 4</t>
  </si>
  <si>
    <t>CAC Spot</t>
  </si>
  <si>
    <t>Euribor 1m</t>
  </si>
  <si>
    <t>Tx Div continu</t>
  </si>
  <si>
    <t>CAC Fwd 1m</t>
  </si>
  <si>
    <t xml:space="preserve"> '= Spot * exp ( r - d ) 1/12</t>
  </si>
  <si>
    <t>Anticipation du Cac Spot dans 1 mois = Cac Fwd 1m aujourd'hui</t>
  </si>
  <si>
    <t>NOTE</t>
  </si>
  <si>
    <t>Moyenne</t>
  </si>
  <si>
    <t>ARROUB Sana</t>
  </si>
  <si>
    <t>BOUAZIZI Atef</t>
  </si>
  <si>
    <t>BOURAOUAHA Abdelhak</t>
  </si>
  <si>
    <t>DIALLO Adama</t>
  </si>
  <si>
    <t>HAMDOUCHE Youness</t>
  </si>
  <si>
    <t>HASSOUNI Asmae</t>
  </si>
  <si>
    <t>LACHAAL Rafik</t>
  </si>
  <si>
    <t>MAILHOS Charlotte</t>
  </si>
  <si>
    <t>MANSIR Issam</t>
  </si>
  <si>
    <t>MESSAN  AZIZET Sabina</t>
  </si>
  <si>
    <t>PEYRIN Victor</t>
  </si>
  <si>
    <t>TIMON Carl</t>
  </si>
  <si>
    <t>TORNARE Lolita</t>
  </si>
  <si>
    <t>YOUSSOUF Kamal</t>
  </si>
  <si>
    <t>Examen terminal (transmission Ch. Manguin le 22/12/14</t>
  </si>
  <si>
    <t xml:space="preserve"> σ =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</si>
</sst>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Tahoma"/>
      <family val="2"/>
    </font>
    <font>
      <sz val="11"/>
      <color rgb="FFC00000"/>
      <name val="Tahoma"/>
      <family val="2"/>
    </font>
    <font>
      <sz val="11"/>
      <color theme="1"/>
      <name val="Arial Rounded MT Bold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9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center"/>
    </xf>
    <xf numFmtId="165" fontId="2" fillId="0" borderId="0" xfId="0" applyNumberFormat="1" applyFont="1"/>
    <xf numFmtId="2" fontId="2" fillId="0" borderId="0" xfId="0" applyNumberFormat="1" applyFont="1"/>
    <xf numFmtId="2" fontId="2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4" fillId="0" borderId="0" xfId="0" applyFont="1"/>
    <xf numFmtId="0" fontId="2" fillId="5" borderId="0" xfId="0" applyFont="1" applyFill="1"/>
    <xf numFmtId="2" fontId="2" fillId="0" borderId="1" xfId="0" applyNumberFormat="1" applyFont="1" applyBorder="1"/>
    <xf numFmtId="0" fontId="0" fillId="5" borderId="0" xfId="0" applyFill="1"/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0" fontId="0" fillId="0" borderId="0" xfId="0" applyNumberFormat="1"/>
    <xf numFmtId="10" fontId="0" fillId="0" borderId="0" xfId="1" applyNumberFormat="1" applyFont="1"/>
    <xf numFmtId="0" fontId="2" fillId="0" borderId="1" xfId="0" applyFont="1" applyBorder="1"/>
    <xf numFmtId="0" fontId="2" fillId="5" borderId="2" xfId="0" applyFont="1" applyFill="1" applyBorder="1"/>
    <xf numFmtId="0" fontId="0" fillId="5" borderId="3" xfId="0" applyFill="1" applyBorder="1"/>
    <xf numFmtId="0" fontId="0" fillId="5" borderId="4" xfId="0" applyFill="1" applyBorder="1"/>
    <xf numFmtId="165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5" fontId="2" fillId="2" borderId="8" xfId="0" applyNumberFormat="1" applyFont="1" applyFill="1" applyBorder="1" applyAlignment="1">
      <alignment horizontal="center"/>
    </xf>
    <xf numFmtId="0" fontId="0" fillId="0" borderId="4" xfId="0" applyBorder="1"/>
    <xf numFmtId="0" fontId="0" fillId="4" borderId="0" xfId="0" applyFill="1"/>
    <xf numFmtId="0" fontId="2" fillId="0" borderId="2" xfId="0" applyFont="1" applyBorder="1"/>
    <xf numFmtId="0" fontId="0" fillId="0" borderId="0" xfId="0" applyNumberFormat="1"/>
    <xf numFmtId="2" fontId="2" fillId="2" borderId="1" xfId="0" applyNumberFormat="1" applyFont="1" applyFill="1" applyBorder="1"/>
    <xf numFmtId="0" fontId="0" fillId="6" borderId="9" xfId="0" applyFill="1" applyBorder="1"/>
    <xf numFmtId="0" fontId="6" fillId="2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7" borderId="9" xfId="0" applyFont="1" applyFill="1" applyBorder="1" applyAlignment="1">
      <alignment horizontal="center"/>
    </xf>
    <xf numFmtId="2" fontId="6" fillId="7" borderId="9" xfId="0" applyNumberFormat="1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165" fontId="0" fillId="6" borderId="11" xfId="0" applyNumberForma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165" fontId="0" fillId="6" borderId="9" xfId="0" applyNumberFormat="1" applyFill="1" applyBorder="1" applyAlignment="1">
      <alignment horizontal="center"/>
    </xf>
    <xf numFmtId="2" fontId="0" fillId="6" borderId="9" xfId="0" applyNumberFormat="1" applyFill="1" applyBorder="1" applyAlignment="1">
      <alignment horizontal="center"/>
    </xf>
    <xf numFmtId="0" fontId="7" fillId="0" borderId="9" xfId="0" applyFont="1" applyBorder="1"/>
    <xf numFmtId="0" fontId="6" fillId="8" borderId="9" xfId="0" applyFont="1" applyFill="1" applyBorder="1" applyAlignment="1">
      <alignment horizontal="center"/>
    </xf>
    <xf numFmtId="0" fontId="6" fillId="8" borderId="9" xfId="0" applyFont="1" applyFill="1" applyBorder="1"/>
    <xf numFmtId="1" fontId="8" fillId="9" borderId="9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8" borderId="12" xfId="0" applyFont="1" applyFill="1" applyBorder="1"/>
    <xf numFmtId="2" fontId="0" fillId="8" borderId="9" xfId="0" applyNumberFormat="1" applyFill="1" applyBorder="1" applyAlignment="1">
      <alignment horizontal="center"/>
    </xf>
    <xf numFmtId="166" fontId="0" fillId="8" borderId="9" xfId="0" applyNumberFormat="1" applyFill="1" applyBorder="1" applyAlignment="1">
      <alignment horizontal="center"/>
    </xf>
    <xf numFmtId="1" fontId="0" fillId="8" borderId="9" xfId="0" applyNumberFormat="1" applyFill="1" applyBorder="1" applyAlignment="1">
      <alignment horizontal="center"/>
    </xf>
    <xf numFmtId="0" fontId="6" fillId="6" borderId="0" xfId="0" applyFont="1" applyFill="1" applyBorder="1"/>
    <xf numFmtId="0" fontId="0" fillId="6" borderId="0" xfId="0" applyFill="1"/>
    <xf numFmtId="0" fontId="7" fillId="6" borderId="0" xfId="0" applyFont="1" applyFill="1"/>
    <xf numFmtId="0" fontId="8" fillId="0" borderId="0" xfId="0" applyFont="1"/>
    <xf numFmtId="0" fontId="6" fillId="10" borderId="0" xfId="0" applyFont="1" applyFill="1"/>
    <xf numFmtId="2" fontId="8" fillId="9" borderId="9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3" fontId="0" fillId="0" borderId="0" xfId="0" applyNumberFormat="1"/>
    <xf numFmtId="0" fontId="9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11" borderId="7" xfId="0" applyFont="1" applyFill="1" applyBorder="1" applyAlignment="1">
      <alignment horizontal="left" vertical="center"/>
    </xf>
    <xf numFmtId="0" fontId="11" fillId="11" borderId="13" xfId="0" applyFont="1" applyFill="1" applyBorder="1" applyAlignment="1">
      <alignment horizontal="left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11</xdr:col>
          <xdr:colOff>257175</xdr:colOff>
          <xdr:row>22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16</xdr:row>
          <xdr:rowOff>190500</xdr:rowOff>
        </xdr:from>
        <xdr:to>
          <xdr:col>4</xdr:col>
          <xdr:colOff>552450</xdr:colOff>
          <xdr:row>18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5</xdr:col>
          <xdr:colOff>438150</xdr:colOff>
          <xdr:row>29</xdr:row>
          <xdr:rowOff>38100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55</xdr:row>
          <xdr:rowOff>0</xdr:rowOff>
        </xdr:from>
        <xdr:to>
          <xdr:col>8</xdr:col>
          <xdr:colOff>171450</xdr:colOff>
          <xdr:row>61</xdr:row>
          <xdr:rowOff>180975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32"/>
  <sheetViews>
    <sheetView tabSelected="1" topLeftCell="A15" workbookViewId="0">
      <selection activeCell="H72" sqref="H72"/>
    </sheetView>
  </sheetViews>
  <sheetFormatPr baseColWidth="10" defaultRowHeight="15" x14ac:dyDescent="0.25"/>
  <cols>
    <col min="2" max="2" width="6.42578125" customWidth="1"/>
    <col min="7" max="7" width="17.140625" customWidth="1"/>
    <col min="11" max="11" width="20.5703125" customWidth="1"/>
  </cols>
  <sheetData>
    <row r="1" spans="1:13" x14ac:dyDescent="0.25">
      <c r="A1" s="1" t="s">
        <v>0</v>
      </c>
    </row>
    <row r="2" spans="1:13" x14ac:dyDescent="0.25">
      <c r="A2" s="1"/>
    </row>
    <row r="3" spans="1:13" x14ac:dyDescent="0.25">
      <c r="A3" s="1" t="s">
        <v>1</v>
      </c>
    </row>
    <row r="4" spans="1:13" ht="15.75" thickBot="1" x14ac:dyDescent="0.3"/>
    <row r="5" spans="1:13" ht="15.75" thickBot="1" x14ac:dyDescent="0.3">
      <c r="A5" s="34" t="s">
        <v>2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x14ac:dyDescent="0.25">
      <c r="B6" t="s">
        <v>3</v>
      </c>
      <c r="C6" s="3">
        <v>88</v>
      </c>
    </row>
    <row r="7" spans="1:13" x14ac:dyDescent="0.25">
      <c r="B7" t="s">
        <v>4</v>
      </c>
      <c r="C7" s="3">
        <v>90</v>
      </c>
    </row>
    <row r="8" spans="1:13" x14ac:dyDescent="0.25">
      <c r="B8" t="s">
        <v>5</v>
      </c>
      <c r="C8" s="2">
        <v>0.06</v>
      </c>
    </row>
    <row r="9" spans="1:13" x14ac:dyDescent="0.25">
      <c r="B9" t="s">
        <v>6</v>
      </c>
      <c r="C9">
        <v>0.5</v>
      </c>
      <c r="E9" t="s">
        <v>54</v>
      </c>
      <c r="F9" s="2">
        <v>0.3</v>
      </c>
    </row>
    <row r="11" spans="1:13" x14ac:dyDescent="0.25">
      <c r="B11" t="s">
        <v>7</v>
      </c>
      <c r="C11" s="5">
        <f>(LN(C6/C7)+(C8+F9*F9/2)*C9)/(F9*SQRT(C9))</f>
        <v>0.14154931497783532</v>
      </c>
    </row>
    <row r="14" spans="1:13" x14ac:dyDescent="0.25">
      <c r="A14" s="14" t="s">
        <v>8</v>
      </c>
      <c r="B14" s="14"/>
    </row>
    <row r="15" spans="1:13" ht="15.75" thickBot="1" x14ac:dyDescent="0.3">
      <c r="C15" t="s">
        <v>9</v>
      </c>
    </row>
    <row r="16" spans="1:13" ht="15.75" thickBot="1" x14ac:dyDescent="0.3">
      <c r="D16" s="11" t="s">
        <v>124</v>
      </c>
    </row>
    <row r="21" spans="1:11" x14ac:dyDescent="0.25">
      <c r="C21" t="s">
        <v>10</v>
      </c>
      <c r="E21" s="7">
        <f>NORMDIST(C11,0,1,TRUE)</f>
        <v>0.55628199776586296</v>
      </c>
    </row>
    <row r="22" spans="1:11" x14ac:dyDescent="0.25">
      <c r="C22" t="s">
        <v>11</v>
      </c>
      <c r="E22" s="5">
        <f>C11-0.25*SQRT(C9)</f>
        <v>-3.5227380318801571E-2</v>
      </c>
    </row>
    <row r="23" spans="1:11" x14ac:dyDescent="0.25">
      <c r="C23" t="s">
        <v>12</v>
      </c>
      <c r="E23" s="7">
        <f>NORMDIST(E22,0,1,TRUE)</f>
        <v>0.48594921471971242</v>
      </c>
    </row>
    <row r="24" spans="1:11" ht="15.75" thickBot="1" x14ac:dyDescent="0.3"/>
    <row r="25" spans="1:11" ht="15.75" thickBot="1" x14ac:dyDescent="0.3">
      <c r="C25" t="s">
        <v>13</v>
      </c>
      <c r="D25" s="10">
        <f>C6*E21-C7*EXP(-C8*C9)*E23</f>
        <v>6.5099637573424545</v>
      </c>
      <c r="F25" s="13" t="s">
        <v>14</v>
      </c>
      <c r="K25" s="12">
        <f>C6*E21-C7*EXP(-C8*C9)*NORMDIST(C11-1.75*SQRT(C9),0,1,TRUE)</f>
        <v>37.025303216375399</v>
      </c>
    </row>
    <row r="28" spans="1:11" x14ac:dyDescent="0.25">
      <c r="A28" s="14" t="s">
        <v>15</v>
      </c>
      <c r="B28" s="14"/>
    </row>
    <row r="29" spans="1:11" x14ac:dyDescent="0.25">
      <c r="C29" t="s">
        <v>16</v>
      </c>
      <c r="H29" t="s">
        <v>18</v>
      </c>
      <c r="K29" t="s">
        <v>19</v>
      </c>
    </row>
    <row r="30" spans="1:11" ht="15.75" thickBot="1" x14ac:dyDescent="0.3">
      <c r="H30" t="s">
        <v>20</v>
      </c>
    </row>
    <row r="31" spans="1:11" ht="15.75" thickBot="1" x14ac:dyDescent="0.3">
      <c r="C31" t="s">
        <v>17</v>
      </c>
      <c r="D31" s="10">
        <f>D25-C6+C7*EXP(-C8*C9)</f>
        <v>5.8500617767082019</v>
      </c>
      <c r="H31" s="9">
        <f>C7*EXP(-C8*C9)*NORMDIST(-E22,0,1,TRUE)-C6*NORMDIST(-C11,0,1,TRUE)</f>
        <v>5.8500617767081948</v>
      </c>
      <c r="K31" s="12">
        <f>K25-C6+C7*EXP(-C8*C9)</f>
        <v>36.365401235741139</v>
      </c>
    </row>
    <row r="33" spans="1:13" x14ac:dyDescent="0.25">
      <c r="A33" s="14" t="s">
        <v>29</v>
      </c>
      <c r="B33" s="14"/>
      <c r="C33" s="16"/>
      <c r="D33" s="16"/>
    </row>
    <row r="34" spans="1:13" x14ac:dyDescent="0.25">
      <c r="L34" t="s">
        <v>22</v>
      </c>
    </row>
    <row r="35" spans="1:13" x14ac:dyDescent="0.25">
      <c r="D35" t="s">
        <v>21</v>
      </c>
    </row>
    <row r="36" spans="1:13" x14ac:dyDescent="0.25">
      <c r="E36" s="6" t="s">
        <v>24</v>
      </c>
      <c r="F36" s="6" t="s">
        <v>25</v>
      </c>
      <c r="H36" t="s">
        <v>28</v>
      </c>
      <c r="J36" s="19">
        <f>NORMDIST(C11,0,1,FALSE)</f>
        <v>0.39496558775252105</v>
      </c>
      <c r="L36" s="6" t="s">
        <v>24</v>
      </c>
      <c r="M36" s="6" t="s">
        <v>25</v>
      </c>
    </row>
    <row r="37" spans="1:13" x14ac:dyDescent="0.25">
      <c r="C37" t="s">
        <v>23</v>
      </c>
      <c r="D37" s="17" t="s">
        <v>26</v>
      </c>
      <c r="E37" s="5">
        <f>E21</f>
        <v>0.55628199776586296</v>
      </c>
      <c r="F37" s="5">
        <f>E37-1</f>
        <v>-0.44371800223413704</v>
      </c>
      <c r="L37" s="5">
        <f>E21</f>
        <v>0.55628199776586296</v>
      </c>
      <c r="M37" s="5">
        <f>L37-1</f>
        <v>-0.44371800223413704</v>
      </c>
    </row>
    <row r="38" spans="1:13" x14ac:dyDescent="0.25">
      <c r="C38" t="s">
        <v>27</v>
      </c>
      <c r="D38" s="17" t="s">
        <v>57</v>
      </c>
      <c r="E38" s="5">
        <f>J36/(0.25*C6*SQRT(C9))</f>
        <v>2.5389349585012547E-2</v>
      </c>
      <c r="F38" s="5">
        <f>E38</f>
        <v>2.5389349585012547E-2</v>
      </c>
      <c r="L38" s="5">
        <f>J36/(1.75*C6*SQRT(C9))</f>
        <v>3.6270499407160782E-3</v>
      </c>
      <c r="M38" s="5">
        <f>L38</f>
        <v>3.6270499407160782E-3</v>
      </c>
    </row>
    <row r="39" spans="1:13" ht="15.75" thickBot="1" x14ac:dyDescent="0.3"/>
    <row r="40" spans="1:13" ht="15.75" thickBot="1" x14ac:dyDescent="0.3">
      <c r="A40" s="22" t="s">
        <v>30</v>
      </c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x14ac:dyDescent="0.25">
      <c r="C41" s="6" t="s">
        <v>32</v>
      </c>
      <c r="D41" s="6" t="s">
        <v>33</v>
      </c>
      <c r="E41" s="6" t="s">
        <v>34</v>
      </c>
      <c r="H41" s="6" t="s">
        <v>37</v>
      </c>
      <c r="I41" s="6" t="s">
        <v>38</v>
      </c>
      <c r="J41" s="6" t="s">
        <v>39</v>
      </c>
    </row>
    <row r="42" spans="1:13" x14ac:dyDescent="0.25">
      <c r="A42" s="1" t="s">
        <v>31</v>
      </c>
      <c r="C42" s="4">
        <v>1.222</v>
      </c>
      <c r="D42" s="4">
        <v>1.25</v>
      </c>
      <c r="E42" s="4">
        <v>1.236</v>
      </c>
      <c r="G42" t="s">
        <v>35</v>
      </c>
      <c r="H42" s="20">
        <v>2.1999999999999999E-2</v>
      </c>
      <c r="I42" s="20">
        <v>2.4400000000000002E-2</v>
      </c>
      <c r="J42" s="20">
        <v>2.3199999999999998E-2</v>
      </c>
      <c r="K42" s="21"/>
    </row>
    <row r="43" spans="1:13" x14ac:dyDescent="0.25">
      <c r="A43" s="1" t="s">
        <v>42</v>
      </c>
      <c r="C43" s="4">
        <v>1.5</v>
      </c>
      <c r="D43" s="4">
        <v>1.54</v>
      </c>
      <c r="E43" s="4">
        <v>1.52</v>
      </c>
      <c r="G43" t="s">
        <v>36</v>
      </c>
      <c r="H43" s="20">
        <v>1.6E-2</v>
      </c>
      <c r="I43" s="20">
        <v>1.7999999999999999E-2</v>
      </c>
      <c r="J43" s="20">
        <v>1.7000000000000001E-2</v>
      </c>
      <c r="K43" s="21"/>
    </row>
    <row r="44" spans="1:13" x14ac:dyDescent="0.25">
      <c r="B44" s="1"/>
      <c r="C44" s="4"/>
      <c r="D44" s="4"/>
      <c r="E44" s="4"/>
      <c r="G44" t="s">
        <v>49</v>
      </c>
      <c r="H44" s="20">
        <v>1.2E-2</v>
      </c>
      <c r="I44" s="20">
        <v>1.4E-2</v>
      </c>
      <c r="J44" s="20">
        <v>1.2999999999999999E-2</v>
      </c>
      <c r="K44" s="21"/>
    </row>
    <row r="45" spans="1:13" ht="15.75" thickBot="1" x14ac:dyDescent="0.3"/>
    <row r="46" spans="1:13" ht="15.75" thickBot="1" x14ac:dyDescent="0.3">
      <c r="A46" s="23" t="s">
        <v>40</v>
      </c>
      <c r="B46" s="24"/>
      <c r="C46" s="25"/>
      <c r="D46" s="24"/>
      <c r="E46" s="25"/>
    </row>
    <row r="48" spans="1:13" ht="15.75" thickBot="1" x14ac:dyDescent="0.3">
      <c r="C48" s="6" t="s">
        <v>34</v>
      </c>
    </row>
    <row r="49" spans="1:9" ht="15.75" thickBot="1" x14ac:dyDescent="0.3">
      <c r="A49" t="s">
        <v>41</v>
      </c>
      <c r="C49" s="26">
        <f>E42/E43</f>
        <v>0.81315789473684208</v>
      </c>
      <c r="D49" t="s">
        <v>43</v>
      </c>
    </row>
    <row r="50" spans="1:9" ht="15.75" thickBot="1" x14ac:dyDescent="0.3"/>
    <row r="51" spans="1:9" ht="15.75" thickBot="1" x14ac:dyDescent="0.3">
      <c r="A51" s="23" t="s">
        <v>45</v>
      </c>
      <c r="B51" s="24"/>
      <c r="C51" s="25"/>
      <c r="D51" s="24"/>
      <c r="E51" s="25"/>
    </row>
    <row r="52" spans="1:9" x14ac:dyDescent="0.25">
      <c r="H52" s="6" t="s">
        <v>32</v>
      </c>
      <c r="I52" s="6" t="s">
        <v>33</v>
      </c>
    </row>
    <row r="53" spans="1:9" ht="15.75" thickBot="1" x14ac:dyDescent="0.3">
      <c r="C53" s="6" t="s">
        <v>32</v>
      </c>
      <c r="D53" s="6" t="s">
        <v>33</v>
      </c>
      <c r="G53" t="s">
        <v>44</v>
      </c>
      <c r="H53" s="18">
        <f>1/D43</f>
        <v>0.64935064935064934</v>
      </c>
      <c r="I53" s="18">
        <f>1/C43</f>
        <v>0.66666666666666663</v>
      </c>
    </row>
    <row r="54" spans="1:9" ht="15.75" thickBot="1" x14ac:dyDescent="0.3">
      <c r="A54" t="s">
        <v>41</v>
      </c>
      <c r="C54" s="26">
        <f>H53*C42</f>
        <v>0.79350649350649349</v>
      </c>
      <c r="D54" s="26">
        <f>I53*D42</f>
        <v>0.83333333333333326</v>
      </c>
    </row>
    <row r="55" spans="1:9" ht="15.75" thickBot="1" x14ac:dyDescent="0.3"/>
    <row r="56" spans="1:9" ht="15.75" thickBot="1" x14ac:dyDescent="0.3">
      <c r="A56" s="23" t="s">
        <v>46</v>
      </c>
      <c r="B56" s="24"/>
      <c r="C56" s="25"/>
      <c r="D56" s="24"/>
      <c r="E56" s="25"/>
    </row>
    <row r="58" spans="1:9" ht="15.75" thickBot="1" x14ac:dyDescent="0.3">
      <c r="C58" s="6" t="s">
        <v>32</v>
      </c>
      <c r="D58" s="6" t="s">
        <v>33</v>
      </c>
    </row>
    <row r="59" spans="1:9" x14ac:dyDescent="0.25">
      <c r="A59" s="1" t="s">
        <v>47</v>
      </c>
      <c r="C59" s="28">
        <f>C42*((1+I42/4)/(1+H43/4))</f>
        <v>1.2245559760956175</v>
      </c>
      <c r="D59" s="29">
        <f>D42*((1+H42/4)/(1+I43/4))</f>
        <v>1.2512444001991041</v>
      </c>
    </row>
    <row r="60" spans="1:9" ht="15.75" thickBot="1" x14ac:dyDescent="0.3">
      <c r="A60" s="1" t="s">
        <v>48</v>
      </c>
      <c r="C60" s="30">
        <f>C43*((1+I42/4)/(1+H44/4))</f>
        <v>1.5046360917248256</v>
      </c>
      <c r="D60" s="31">
        <f>D43*((1+H42/4)/(1+I44/4))</f>
        <v>1.5430692575984057</v>
      </c>
    </row>
    <row r="64" spans="1:9" ht="15.75" thickBot="1" x14ac:dyDescent="0.3"/>
    <row r="65" spans="1:13" ht="15.75" thickBot="1" x14ac:dyDescent="0.3">
      <c r="A65" s="22" t="s">
        <v>50</v>
      </c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7" spans="1:13" x14ac:dyDescent="0.25">
      <c r="B67" t="s">
        <v>51</v>
      </c>
      <c r="D67" t="s">
        <v>59</v>
      </c>
    </row>
    <row r="69" spans="1:13" x14ac:dyDescent="0.25">
      <c r="C69" t="s">
        <v>52</v>
      </c>
      <c r="D69" t="s">
        <v>24</v>
      </c>
      <c r="E69" t="s">
        <v>25</v>
      </c>
    </row>
    <row r="70" spans="1:13" x14ac:dyDescent="0.25">
      <c r="B70" t="s">
        <v>3</v>
      </c>
      <c r="C70">
        <v>70</v>
      </c>
      <c r="D70">
        <v>70</v>
      </c>
      <c r="G70" t="s">
        <v>7</v>
      </c>
      <c r="H70">
        <v>0.14249999999999999</v>
      </c>
    </row>
    <row r="71" spans="1:13" x14ac:dyDescent="0.25">
      <c r="B71" t="s">
        <v>4</v>
      </c>
      <c r="D71">
        <v>70</v>
      </c>
      <c r="G71" t="s">
        <v>55</v>
      </c>
      <c r="H71">
        <v>0.55669999999999997</v>
      </c>
    </row>
    <row r="72" spans="1:13" x14ac:dyDescent="0.25">
      <c r="B72" t="s">
        <v>5</v>
      </c>
      <c r="C72" s="2">
        <v>0.04</v>
      </c>
      <c r="G72" t="s">
        <v>56</v>
      </c>
      <c r="H72" s="5">
        <v>0.50700000000000001</v>
      </c>
    </row>
    <row r="73" spans="1:13" ht="18" x14ac:dyDescent="0.35">
      <c r="B73" t="s">
        <v>6</v>
      </c>
      <c r="C73">
        <v>0.25</v>
      </c>
      <c r="G73" t="s">
        <v>58</v>
      </c>
      <c r="H73">
        <v>4.5100000000000001E-2</v>
      </c>
    </row>
    <row r="74" spans="1:13" x14ac:dyDescent="0.25">
      <c r="B74" t="s">
        <v>54</v>
      </c>
      <c r="C74" s="2">
        <v>0.25</v>
      </c>
    </row>
    <row r="75" spans="1:13" x14ac:dyDescent="0.25">
      <c r="C75" s="2"/>
    </row>
    <row r="76" spans="1:13" x14ac:dyDescent="0.25">
      <c r="A76" t="s">
        <v>60</v>
      </c>
      <c r="C76" s="35">
        <v>40</v>
      </c>
    </row>
    <row r="77" spans="1:13" x14ac:dyDescent="0.25">
      <c r="A77" t="s">
        <v>61</v>
      </c>
      <c r="B77">
        <v>0</v>
      </c>
      <c r="C77" s="35"/>
    </row>
    <row r="78" spans="1:13" x14ac:dyDescent="0.25">
      <c r="C78" s="35"/>
    </row>
    <row r="80" spans="1:13" x14ac:dyDescent="0.25">
      <c r="A80" s="14" t="s">
        <v>62</v>
      </c>
      <c r="B80" s="14"/>
      <c r="C80" s="16"/>
      <c r="D80" s="16"/>
      <c r="E80" s="16"/>
    </row>
    <row r="81" spans="1:9" ht="15.75" thickBot="1" x14ac:dyDescent="0.3"/>
    <row r="82" spans="1:9" ht="15.75" thickBot="1" x14ac:dyDescent="0.3">
      <c r="B82" t="s">
        <v>63</v>
      </c>
      <c r="C82" s="10">
        <f>C70*H71-D71*EXP(-C72*C73)*H72</f>
        <v>3.8321314002420266</v>
      </c>
      <c r="E82" t="s">
        <v>64</v>
      </c>
      <c r="I82">
        <f>C76*C70/C82</f>
        <v>730.66388063393651</v>
      </c>
    </row>
    <row r="84" spans="1:9" x14ac:dyDescent="0.25">
      <c r="B84" t="s">
        <v>65</v>
      </c>
      <c r="E84" t="s">
        <v>67</v>
      </c>
    </row>
    <row r="85" spans="1:9" x14ac:dyDescent="0.25">
      <c r="C85" t="s">
        <v>52</v>
      </c>
      <c r="D85">
        <v>40</v>
      </c>
      <c r="E85" s="3">
        <f>D85*C70</f>
        <v>2800</v>
      </c>
    </row>
    <row r="86" spans="1:9" x14ac:dyDescent="0.25">
      <c r="C86" t="s">
        <v>66</v>
      </c>
      <c r="D86">
        <v>-731</v>
      </c>
      <c r="E86" s="3">
        <f>D86*C82</f>
        <v>-2801.2880535769214</v>
      </c>
    </row>
    <row r="87" spans="1:9" x14ac:dyDescent="0.25">
      <c r="E87" s="8">
        <f>E85+E86</f>
        <v>-1.2880535769213566</v>
      </c>
    </row>
    <row r="88" spans="1:9" x14ac:dyDescent="0.25">
      <c r="B88" t="s">
        <v>68</v>
      </c>
    </row>
    <row r="89" spans="1:9" x14ac:dyDescent="0.25">
      <c r="C89" t="s">
        <v>69</v>
      </c>
    </row>
    <row r="90" spans="1:9" x14ac:dyDescent="0.25">
      <c r="C90" t="s">
        <v>70</v>
      </c>
    </row>
    <row r="92" spans="1:9" x14ac:dyDescent="0.25">
      <c r="A92" s="14" t="s">
        <v>71</v>
      </c>
      <c r="B92" s="14"/>
      <c r="C92" s="16"/>
      <c r="D92" s="16"/>
      <c r="E92" s="16"/>
    </row>
    <row r="94" spans="1:9" x14ac:dyDescent="0.25">
      <c r="C94" s="6" t="s">
        <v>72</v>
      </c>
      <c r="D94" s="6" t="s">
        <v>73</v>
      </c>
      <c r="E94" s="6" t="s">
        <v>27</v>
      </c>
      <c r="F94" s="6" t="s">
        <v>76</v>
      </c>
    </row>
    <row r="95" spans="1:9" ht="18" x14ac:dyDescent="0.35">
      <c r="B95" t="s">
        <v>53</v>
      </c>
      <c r="C95">
        <v>40</v>
      </c>
      <c r="D95">
        <v>1</v>
      </c>
      <c r="E95">
        <v>0</v>
      </c>
      <c r="F95">
        <v>0</v>
      </c>
    </row>
    <row r="96" spans="1:9" x14ac:dyDescent="0.25">
      <c r="B96" t="s">
        <v>74</v>
      </c>
      <c r="C96">
        <v>-731</v>
      </c>
      <c r="D96">
        <f>H71</f>
        <v>0.55669999999999997</v>
      </c>
      <c r="E96">
        <f>H73</f>
        <v>4.5100000000000001E-2</v>
      </c>
      <c r="F96" s="3">
        <f>C70*SQRT(C73)*NORMDIST(H70,0,1,FALSE)</f>
        <v>13.821929198583309</v>
      </c>
    </row>
    <row r="97" spans="1:14" ht="15.75" thickBot="1" x14ac:dyDescent="0.3"/>
    <row r="98" spans="1:14" ht="15.75" thickBot="1" x14ac:dyDescent="0.3">
      <c r="B98" t="s">
        <v>75</v>
      </c>
      <c r="D98" s="36">
        <f>C95*D95+C96*D96</f>
        <v>-366.9477</v>
      </c>
      <c r="E98" s="36">
        <f>C95*E95+C96*E96</f>
        <v>-32.9681</v>
      </c>
      <c r="F98" s="15">
        <f>C95*F95+C96*F96</f>
        <v>-10103.830244164399</v>
      </c>
    </row>
    <row r="100" spans="1:14" x14ac:dyDescent="0.25">
      <c r="A100" s="14" t="s">
        <v>77</v>
      </c>
      <c r="B100" s="14"/>
      <c r="C100" s="16"/>
      <c r="D100" s="16"/>
      <c r="E100" s="16"/>
    </row>
    <row r="102" spans="1:14" x14ac:dyDescent="0.25">
      <c r="C102" s="54" t="s">
        <v>90</v>
      </c>
      <c r="D102" s="55" t="s">
        <v>52</v>
      </c>
      <c r="E102" s="39" t="s">
        <v>80</v>
      </c>
      <c r="F102" s="39"/>
      <c r="K102" s="37" t="s">
        <v>78</v>
      </c>
      <c r="L102" s="38" t="s">
        <v>79</v>
      </c>
      <c r="M102" s="39" t="s">
        <v>80</v>
      </c>
      <c r="N102" s="39" t="s">
        <v>81</v>
      </c>
    </row>
    <row r="103" spans="1:14" x14ac:dyDescent="0.25">
      <c r="C103" s="56" t="s">
        <v>91</v>
      </c>
      <c r="D103" s="57">
        <v>40</v>
      </c>
      <c r="E103" s="58">
        <v>-731</v>
      </c>
      <c r="F103" s="58"/>
      <c r="K103" s="40" t="s">
        <v>82</v>
      </c>
      <c r="L103" s="41">
        <v>70</v>
      </c>
      <c r="M103" s="41">
        <v>70</v>
      </c>
      <c r="N103" s="41">
        <f>L103</f>
        <v>70</v>
      </c>
    </row>
    <row r="104" spans="1:14" x14ac:dyDescent="0.25">
      <c r="E104" s="27"/>
      <c r="F104" s="27"/>
      <c r="G104" s="27"/>
      <c r="H104" s="27"/>
      <c r="I104" s="27"/>
      <c r="K104" s="40" t="s">
        <v>83</v>
      </c>
      <c r="L104" s="40"/>
      <c r="M104" s="41">
        <v>70</v>
      </c>
      <c r="N104" s="41">
        <v>72</v>
      </c>
    </row>
    <row r="105" spans="1:14" x14ac:dyDescent="0.25">
      <c r="C105" s="27"/>
      <c r="D105" s="55" t="s">
        <v>67</v>
      </c>
      <c r="E105" s="55" t="s">
        <v>73</v>
      </c>
      <c r="F105" s="55" t="s">
        <v>27</v>
      </c>
      <c r="G105" s="55" t="s">
        <v>76</v>
      </c>
      <c r="H105" s="27"/>
      <c r="I105" s="27"/>
      <c r="K105" s="40" t="s">
        <v>84</v>
      </c>
      <c r="L105" s="40"/>
      <c r="M105" s="42">
        <v>0.04</v>
      </c>
      <c r="N105" s="42">
        <v>0.04</v>
      </c>
    </row>
    <row r="106" spans="1:14" x14ac:dyDescent="0.25">
      <c r="C106" s="59" t="s">
        <v>91</v>
      </c>
      <c r="D106" s="60">
        <f>D103*L112+E103*M112</f>
        <v>-6.7086920504607406E-2</v>
      </c>
      <c r="E106" s="61">
        <f>D103*L113+E103*M113</f>
        <v>-366.91660348990615</v>
      </c>
      <c r="F106" s="61">
        <f>D103*L114+E103*M114</f>
        <v>-32.992098756455178</v>
      </c>
      <c r="G106" s="62">
        <f>D103*L115+E103*M115</f>
        <v>-10103.830244164399</v>
      </c>
      <c r="H106" s="27"/>
      <c r="I106" s="27"/>
      <c r="K106" s="40" t="s">
        <v>85</v>
      </c>
      <c r="L106" s="40"/>
      <c r="M106" s="42">
        <v>0.25</v>
      </c>
      <c r="N106" s="42">
        <v>0.25</v>
      </c>
    </row>
    <row r="107" spans="1:14" x14ac:dyDescent="0.25">
      <c r="K107" s="43" t="s">
        <v>86</v>
      </c>
      <c r="L107" s="43"/>
      <c r="M107" s="44">
        <v>0.25</v>
      </c>
      <c r="N107" s="45">
        <v>0.25</v>
      </c>
    </row>
    <row r="108" spans="1:14" x14ac:dyDescent="0.25">
      <c r="C108" s="63" t="s">
        <v>92</v>
      </c>
      <c r="D108" s="64"/>
      <c r="E108" s="64"/>
      <c r="F108" s="64"/>
      <c r="G108" s="64"/>
      <c r="H108" s="65"/>
      <c r="I108" s="65"/>
      <c r="M108" s="2"/>
      <c r="N108" s="2"/>
    </row>
    <row r="109" spans="1:14" x14ac:dyDescent="0.25">
      <c r="K109" s="46" t="s">
        <v>87</v>
      </c>
      <c r="L109" s="46"/>
      <c r="M109" s="18">
        <f>(LN(M103/M104)+(M105+M106*M106/2)*M107)/(M106*SQRT(M107))</f>
        <v>0.14250000000000002</v>
      </c>
      <c r="N109" s="18">
        <f>(LN(N103/N104)+(N105+N106*N106/2)*N107)/(N106*SQRT(N107))</f>
        <v>-8.2867015733570665E-2</v>
      </c>
    </row>
    <row r="110" spans="1:14" x14ac:dyDescent="0.25">
      <c r="C110" s="54" t="s">
        <v>90</v>
      </c>
      <c r="D110" s="55" t="s">
        <v>52</v>
      </c>
      <c r="E110" s="39" t="s">
        <v>80</v>
      </c>
      <c r="F110" s="39"/>
      <c r="K110" s="46" t="s">
        <v>88</v>
      </c>
      <c r="L110" s="46"/>
      <c r="M110" s="18">
        <f>M109-M106*SQRT(M107)</f>
        <v>1.7500000000000016E-2</v>
      </c>
      <c r="N110" s="18">
        <f>N109-N106*SQRT(N107)</f>
        <v>-0.20786701573357066</v>
      </c>
    </row>
    <row r="111" spans="1:14" x14ac:dyDescent="0.25">
      <c r="C111" s="56" t="s">
        <v>93</v>
      </c>
      <c r="D111" s="57">
        <f>D103-E106</f>
        <v>406.91660348990615</v>
      </c>
      <c r="E111" s="58">
        <f>E103</f>
        <v>-731</v>
      </c>
      <c r="F111" s="58"/>
      <c r="H111" s="66" t="s">
        <v>94</v>
      </c>
    </row>
    <row r="112" spans="1:14" x14ac:dyDescent="0.25">
      <c r="E112" s="27"/>
      <c r="F112" s="27"/>
      <c r="G112" s="27"/>
      <c r="H112" s="27"/>
      <c r="I112" s="27"/>
      <c r="K112" s="47" t="s">
        <v>67</v>
      </c>
      <c r="L112" s="47">
        <f>L103</f>
        <v>70</v>
      </c>
      <c r="M112" s="48">
        <f>M103*NORMDIST(M109,0,1,TRUE)-M104*EXP(-M105*M107)*NORMDIST(M110,0,1,TRUE)</f>
        <v>3.8304611312182004</v>
      </c>
      <c r="N112" s="48">
        <f>N104*EXP(-N105*N107)*NORMDIST(-N110,0,1,TRUE)-N103*NORMDIST(-N109,0,1,TRUE)</f>
        <v>4.1993331374815668</v>
      </c>
    </row>
    <row r="113" spans="1:14" x14ac:dyDescent="0.25">
      <c r="C113" s="27"/>
      <c r="D113" s="55" t="s">
        <v>67</v>
      </c>
      <c r="E113" s="55" t="s">
        <v>73</v>
      </c>
      <c r="F113" s="55" t="s">
        <v>27</v>
      </c>
      <c r="G113" s="55" t="s">
        <v>76</v>
      </c>
      <c r="H113" s="27"/>
      <c r="I113" s="27"/>
      <c r="K113" s="49" t="s">
        <v>73</v>
      </c>
      <c r="L113" s="49">
        <v>1</v>
      </c>
      <c r="M113" s="50">
        <f>NORMDIST(M109,0,1,TRUE)</f>
        <v>0.55665746031450913</v>
      </c>
      <c r="N113" s="50">
        <f>NORMDIST(N109,0,1,TRUE)-1</f>
        <v>-0.53302135928113692</v>
      </c>
    </row>
    <row r="114" spans="1:14" x14ac:dyDescent="0.25">
      <c r="C114" s="59" t="s">
        <v>93</v>
      </c>
      <c r="D114" s="60">
        <f>D111*L112+E111*M112</f>
        <v>25684.095157372925</v>
      </c>
      <c r="E114" s="61">
        <f>D111*L113+E111*M113</f>
        <v>0</v>
      </c>
      <c r="F114" s="61">
        <f>D111*L114+E111*M114</f>
        <v>-32.992098756455178</v>
      </c>
      <c r="G114" s="62">
        <f>D111*L115+E111*M115</f>
        <v>-10103.830244164399</v>
      </c>
      <c r="H114" s="27"/>
      <c r="I114" s="27"/>
      <c r="K114" s="51" t="s">
        <v>27</v>
      </c>
      <c r="L114" s="51">
        <v>0</v>
      </c>
      <c r="M114" s="52">
        <f>NORMDIST(M109,0,1,FALSE)/(M103*M106*SQRT(M107))</f>
        <v>4.5132830036190397E-2</v>
      </c>
      <c r="N114" s="52">
        <f>NORMDIST(N109,0,1,FALSE)/(N103*N106*SQRT(N107))</f>
        <v>4.5437128275784049E-2</v>
      </c>
    </row>
    <row r="115" spans="1:14" x14ac:dyDescent="0.25">
      <c r="K115" s="51" t="s">
        <v>89</v>
      </c>
      <c r="L115" s="51">
        <v>0</v>
      </c>
      <c r="M115" s="53">
        <f>M103*SQRT(M107)*NORMDIST(M109,0,1,FALSE)</f>
        <v>13.821929198583309</v>
      </c>
      <c r="N115" s="53">
        <f>N103*SQRT(N107)*NORMDIST(N109,0,1,FALSE)</f>
        <v>13.915120534458865</v>
      </c>
    </row>
    <row r="116" spans="1:14" x14ac:dyDescent="0.25">
      <c r="C116" s="63" t="s">
        <v>95</v>
      </c>
      <c r="D116" s="64"/>
      <c r="E116" s="64"/>
      <c r="F116" s="67" t="s">
        <v>96</v>
      </c>
      <c r="G116" s="64"/>
      <c r="H116" s="64"/>
      <c r="I116" s="65"/>
    </row>
    <row r="118" spans="1:14" x14ac:dyDescent="0.25">
      <c r="C118" s="54" t="s">
        <v>90</v>
      </c>
      <c r="D118" s="55" t="s">
        <v>52</v>
      </c>
      <c r="E118" s="39" t="s">
        <v>80</v>
      </c>
      <c r="F118" s="39" t="s">
        <v>81</v>
      </c>
      <c r="H118" s="66" t="s">
        <v>97</v>
      </c>
    </row>
    <row r="119" spans="1:14" x14ac:dyDescent="0.25">
      <c r="C119" s="56" t="s">
        <v>98</v>
      </c>
      <c r="D119" s="68">
        <f>D103-(E106+(-F106/N114)*N113)</f>
        <v>793.94575766458854</v>
      </c>
      <c r="E119" s="69">
        <f>E103</f>
        <v>-731</v>
      </c>
      <c r="F119" s="69">
        <f>-F106/N114</f>
        <v>726.10439982490016</v>
      </c>
      <c r="H119" s="66" t="s">
        <v>99</v>
      </c>
    </row>
    <row r="121" spans="1:14" x14ac:dyDescent="0.25">
      <c r="C121" s="27"/>
      <c r="D121" s="55" t="s">
        <v>67</v>
      </c>
      <c r="E121" s="55" t="s">
        <v>73</v>
      </c>
      <c r="F121" s="55" t="s">
        <v>27</v>
      </c>
      <c r="G121" s="55" t="s">
        <v>76</v>
      </c>
    </row>
    <row r="122" spans="1:14" x14ac:dyDescent="0.25">
      <c r="C122" s="59" t="s">
        <v>98</v>
      </c>
      <c r="D122" s="60">
        <f>D119*L112+E119*M112+F119*N112</f>
        <v>55825.290217056558</v>
      </c>
      <c r="E122" s="61">
        <f>D119*L113+E119*M113+F119*N113</f>
        <v>0</v>
      </c>
      <c r="F122" s="61">
        <f>D119*L114+E119*M114+F119*N114</f>
        <v>0</v>
      </c>
      <c r="G122" s="60">
        <f>D119*L115+E119*M115+F119*N115</f>
        <v>0</v>
      </c>
    </row>
    <row r="123" spans="1:14" ht="15.75" thickBot="1" x14ac:dyDescent="0.3"/>
    <row r="124" spans="1:14" ht="15.75" thickBot="1" x14ac:dyDescent="0.3">
      <c r="A124" s="22" t="s">
        <v>100</v>
      </c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6" spans="1:14" x14ac:dyDescent="0.25">
      <c r="C126" t="s">
        <v>101</v>
      </c>
      <c r="D126" s="70">
        <v>4420</v>
      </c>
    </row>
    <row r="127" spans="1:14" x14ac:dyDescent="0.25">
      <c r="C127" t="s">
        <v>102</v>
      </c>
      <c r="D127" s="20">
        <v>1.8E-3</v>
      </c>
    </row>
    <row r="128" spans="1:14" x14ac:dyDescent="0.25">
      <c r="C128" t="s">
        <v>103</v>
      </c>
      <c r="D128" s="20">
        <v>1.1999999999999999E-3</v>
      </c>
    </row>
    <row r="129" spans="3:8" ht="15.75" thickBot="1" x14ac:dyDescent="0.3"/>
    <row r="130" spans="3:8" ht="15.75" thickBot="1" x14ac:dyDescent="0.3">
      <c r="C130" t="s">
        <v>104</v>
      </c>
      <c r="D130" s="10">
        <f>D126*EXP((D127-D128)/12)</f>
        <v>4420.2210055250926</v>
      </c>
      <c r="E130" t="s">
        <v>105</v>
      </c>
    </row>
    <row r="131" spans="3:8" ht="15.75" thickBot="1" x14ac:dyDescent="0.3"/>
    <row r="132" spans="3:8" ht="15.75" thickBot="1" x14ac:dyDescent="0.3">
      <c r="C132" t="s">
        <v>106</v>
      </c>
      <c r="H132" s="10">
        <f>D130</f>
        <v>4420.2210055250926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r:id="rId5">
            <anchor moveWithCells="1">
              <from>
                <xdr:col>7</xdr:col>
                <xdr:colOff>0</xdr:colOff>
                <xdr:row>10</xdr:row>
                <xdr:rowOff>0</xdr:rowOff>
              </from>
              <to>
                <xdr:col>11</xdr:col>
                <xdr:colOff>257175</xdr:colOff>
                <xdr:row>22</xdr:row>
                <xdr:rowOff>0</xdr:rowOff>
              </to>
            </anchor>
          </objectPr>
        </oleObject>
      </mc:Choice>
      <mc:Fallback>
        <oleObject progId="Equation.DSMT4" shapeId="1025" r:id="rId4"/>
      </mc:Fallback>
    </mc:AlternateContent>
    <mc:AlternateContent xmlns:mc="http://schemas.openxmlformats.org/markup-compatibility/2006">
      <mc:Choice Requires="x14">
        <oleObject progId="Equation.DSMT4" shapeId="1026" r:id="rId6">
          <objectPr defaultSize="0" autoPict="0" r:id="rId7">
            <anchor moveWithCells="1">
              <from>
                <xdr:col>1</xdr:col>
                <xdr:colOff>428625</xdr:colOff>
                <xdr:row>16</xdr:row>
                <xdr:rowOff>190500</xdr:rowOff>
              </from>
              <to>
                <xdr:col>4</xdr:col>
                <xdr:colOff>552450</xdr:colOff>
                <xdr:row>18</xdr:row>
                <xdr:rowOff>123825</xdr:rowOff>
              </to>
            </anchor>
          </objectPr>
        </oleObject>
      </mc:Choice>
      <mc:Fallback>
        <oleObject progId="Equation.DSMT4" shapeId="1026" r:id="rId6"/>
      </mc:Fallback>
    </mc:AlternateContent>
    <mc:AlternateContent xmlns:mc="http://schemas.openxmlformats.org/markup-compatibility/2006">
      <mc:Choice Requires="x14">
        <oleObject progId="Equation.DSMT4" shapeId="1027" r:id="rId8">
          <objectPr defaultSize="0" r:id="rId9">
            <anchor moveWithCells="1">
              <from>
                <xdr:col>4</xdr:col>
                <xdr:colOff>0</xdr:colOff>
                <xdr:row>28</xdr:row>
                <xdr:rowOff>0</xdr:rowOff>
              </from>
              <to>
                <xdr:col>5</xdr:col>
                <xdr:colOff>438150</xdr:colOff>
                <xdr:row>29</xdr:row>
                <xdr:rowOff>38100</xdr:rowOff>
              </to>
            </anchor>
          </objectPr>
        </oleObject>
      </mc:Choice>
      <mc:Fallback>
        <oleObject progId="Equation.DSMT4" shapeId="1027" r:id="rId8"/>
      </mc:Fallback>
    </mc:AlternateContent>
    <mc:AlternateContent xmlns:mc="http://schemas.openxmlformats.org/markup-compatibility/2006">
      <mc:Choice Requires="x14">
        <oleObject progId="Equation.DSMT4" shapeId="1029" r:id="rId10">
          <objectPr defaultSize="0" autoPict="0" r:id="rId11">
            <anchor moveWithCells="1">
              <from>
                <xdr:col>6</xdr:col>
                <xdr:colOff>0</xdr:colOff>
                <xdr:row>55</xdr:row>
                <xdr:rowOff>0</xdr:rowOff>
              </from>
              <to>
                <xdr:col>8</xdr:col>
                <xdr:colOff>171450</xdr:colOff>
                <xdr:row>61</xdr:row>
                <xdr:rowOff>180975</xdr:rowOff>
              </to>
            </anchor>
          </objectPr>
        </oleObject>
      </mc:Choice>
      <mc:Fallback>
        <oleObject progId="Equation.DSMT4" shapeId="1029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1"/>
  <sheetViews>
    <sheetView topLeftCell="A3" workbookViewId="0">
      <selection activeCell="A11" sqref="A11"/>
    </sheetView>
  </sheetViews>
  <sheetFormatPr baseColWidth="10" defaultRowHeight="15" x14ac:dyDescent="0.25"/>
  <cols>
    <col min="5" max="5" width="30.140625" customWidth="1"/>
    <col min="6" max="6" width="6" customWidth="1"/>
  </cols>
  <sheetData>
    <row r="4" spans="3:6" x14ac:dyDescent="0.25">
      <c r="C4" t="s">
        <v>107</v>
      </c>
      <c r="E4" t="s">
        <v>123</v>
      </c>
    </row>
    <row r="5" spans="3:6" ht="15.75" thickBot="1" x14ac:dyDescent="0.3"/>
    <row r="6" spans="3:6" ht="15.75" thickBot="1" x14ac:dyDescent="0.3">
      <c r="C6">
        <v>18</v>
      </c>
      <c r="E6" s="76" t="s">
        <v>109</v>
      </c>
      <c r="F6" s="71">
        <v>18</v>
      </c>
    </row>
    <row r="7" spans="3:6" ht="15.75" thickBot="1" x14ac:dyDescent="0.3">
      <c r="C7">
        <v>18</v>
      </c>
      <c r="E7" s="77" t="s">
        <v>110</v>
      </c>
      <c r="F7" s="72">
        <v>5</v>
      </c>
    </row>
    <row r="8" spans="3:6" ht="15.75" thickBot="1" x14ac:dyDescent="0.3">
      <c r="C8">
        <v>18</v>
      </c>
      <c r="E8" s="77" t="s">
        <v>111</v>
      </c>
      <c r="F8" s="73">
        <v>17</v>
      </c>
    </row>
    <row r="9" spans="3:6" ht="15.75" thickBot="1" x14ac:dyDescent="0.3">
      <c r="C9">
        <v>17</v>
      </c>
      <c r="E9" s="77" t="s">
        <v>112</v>
      </c>
      <c r="F9" s="73">
        <v>11</v>
      </c>
    </row>
    <row r="10" spans="3:6" ht="15.75" thickBot="1" x14ac:dyDescent="0.3">
      <c r="C10">
        <v>12</v>
      </c>
      <c r="E10" s="77" t="s">
        <v>113</v>
      </c>
      <c r="F10" s="73">
        <v>18</v>
      </c>
    </row>
    <row r="11" spans="3:6" ht="15.75" thickBot="1" x14ac:dyDescent="0.3">
      <c r="C11">
        <v>12</v>
      </c>
      <c r="E11" s="77" t="s">
        <v>114</v>
      </c>
      <c r="F11" s="73">
        <v>11</v>
      </c>
    </row>
    <row r="12" spans="3:6" ht="15.75" thickBot="1" x14ac:dyDescent="0.3">
      <c r="C12">
        <v>11</v>
      </c>
      <c r="E12" s="77" t="s">
        <v>115</v>
      </c>
      <c r="F12" s="72">
        <v>6</v>
      </c>
    </row>
    <row r="13" spans="3:6" ht="15.75" thickBot="1" x14ac:dyDescent="0.3">
      <c r="C13">
        <v>11</v>
      </c>
      <c r="E13" s="77" t="s">
        <v>116</v>
      </c>
      <c r="F13" s="73">
        <v>18</v>
      </c>
    </row>
    <row r="14" spans="3:6" ht="15.75" thickBot="1" x14ac:dyDescent="0.3">
      <c r="C14">
        <v>11</v>
      </c>
      <c r="E14" s="77" t="s">
        <v>117</v>
      </c>
      <c r="F14" s="73">
        <v>11</v>
      </c>
    </row>
    <row r="15" spans="3:6" ht="15.75" thickBot="1" x14ac:dyDescent="0.3">
      <c r="C15">
        <v>11</v>
      </c>
      <c r="E15" s="78" t="s">
        <v>118</v>
      </c>
      <c r="F15" s="73">
        <v>11</v>
      </c>
    </row>
    <row r="16" spans="3:6" ht="15.75" thickBot="1" x14ac:dyDescent="0.3">
      <c r="C16">
        <v>6</v>
      </c>
      <c r="E16" s="78" t="s">
        <v>119</v>
      </c>
      <c r="F16" s="72">
        <v>4</v>
      </c>
    </row>
    <row r="17" spans="2:6" ht="15.75" thickBot="1" x14ac:dyDescent="0.3">
      <c r="C17">
        <v>6</v>
      </c>
      <c r="E17" s="79" t="s">
        <v>120</v>
      </c>
      <c r="F17" s="74">
        <v>12</v>
      </c>
    </row>
    <row r="18" spans="2:6" ht="15.75" thickBot="1" x14ac:dyDescent="0.3">
      <c r="C18">
        <v>5</v>
      </c>
      <c r="E18" s="79" t="s">
        <v>121</v>
      </c>
      <c r="F18" s="74">
        <v>12</v>
      </c>
    </row>
    <row r="19" spans="2:6" ht="15.75" thickBot="1" x14ac:dyDescent="0.3">
      <c r="C19">
        <v>4</v>
      </c>
      <c r="E19" s="79" t="s">
        <v>122</v>
      </c>
      <c r="F19" s="75">
        <v>6</v>
      </c>
    </row>
    <row r="21" spans="2:6" x14ac:dyDescent="0.25">
      <c r="B21" t="s">
        <v>108</v>
      </c>
      <c r="C21" s="3">
        <f>AVERAGE(C6:C19)</f>
        <v>11.428571428571429</v>
      </c>
    </row>
  </sheetData>
  <sortState ref="E6:F19">
    <sortCondition ref="E4:E1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Corrige</vt:lpstr>
      <vt:lpstr>Feuil4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AFH</dc:creator>
  <cp:lastModifiedBy>AFH</cp:lastModifiedBy>
  <dcterms:created xsi:type="dcterms:W3CDTF">2014-12-12T10:25:33Z</dcterms:created>
  <dcterms:modified xsi:type="dcterms:W3CDTF">2015-12-15T21:51:34Z</dcterms:modified>
</cp:coreProperties>
</file>