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 activeTab="1"/>
  </bookViews>
  <sheets>
    <sheet name="Corrigé" sheetId="1" r:id="rId1"/>
    <sheet name="Notes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5" i="2" l="1"/>
  <c r="B14" i="2"/>
  <c r="B6" i="2"/>
  <c r="B8" i="2"/>
  <c r="B12" i="2"/>
  <c r="B5" i="2"/>
  <c r="B9" i="2"/>
  <c r="B4" i="2"/>
  <c r="B10" i="2"/>
  <c r="B7" i="2"/>
  <c r="B11" i="2"/>
  <c r="J123" i="1"/>
  <c r="C133" i="1"/>
  <c r="D123" i="1"/>
  <c r="H124" i="1" s="1"/>
  <c r="E90" i="1"/>
  <c r="E88" i="1"/>
  <c r="D75" i="1"/>
  <c r="C75" i="1"/>
  <c r="H67" i="1"/>
  <c r="H68" i="1" s="1"/>
  <c r="H69" i="1" s="1"/>
  <c r="E111" i="1"/>
  <c r="L104" i="1"/>
  <c r="E103" i="1"/>
  <c r="M101" i="1"/>
  <c r="M106" i="1" s="1"/>
  <c r="F98" i="1" s="1"/>
  <c r="N95" i="1"/>
  <c r="D88" i="1"/>
  <c r="D90" i="1" s="1"/>
  <c r="D56" i="1"/>
  <c r="C57" i="1" s="1"/>
  <c r="D59" i="1" s="1"/>
  <c r="C56" i="1"/>
  <c r="D57" i="1" s="1"/>
  <c r="C59" i="1" s="1"/>
  <c r="J44" i="1"/>
  <c r="J45" i="1"/>
  <c r="J43" i="1"/>
  <c r="E44" i="1"/>
  <c r="E43" i="1"/>
  <c r="C11" i="1"/>
  <c r="B75" i="1" l="1"/>
  <c r="H70" i="1"/>
  <c r="I64" i="1"/>
  <c r="I65" i="1"/>
  <c r="N101" i="1"/>
  <c r="N102" i="1" s="1"/>
  <c r="N104" i="1" s="1"/>
  <c r="M105" i="1"/>
  <c r="E98" i="1" s="1"/>
  <c r="M107" i="1"/>
  <c r="G98" i="1" s="1"/>
  <c r="M102" i="1"/>
  <c r="M104" i="1" s="1"/>
  <c r="D98" i="1" s="1"/>
  <c r="C50" i="1"/>
  <c r="C51" i="1" s="1"/>
  <c r="F16" i="1"/>
  <c r="H16" i="1" s="1"/>
  <c r="G21" i="1"/>
  <c r="J36" i="1"/>
  <c r="G16" i="1" l="1"/>
  <c r="G22" i="1" s="1"/>
  <c r="N105" i="1"/>
  <c r="N107" i="1"/>
  <c r="N106" i="1"/>
  <c r="F111" i="1" s="1"/>
  <c r="D103" i="1"/>
  <c r="G23" i="1"/>
  <c r="D25" i="1" s="1"/>
  <c r="D31" i="1" s="1"/>
  <c r="H31" i="1"/>
  <c r="H11" i="1"/>
  <c r="H22" i="1"/>
  <c r="H23" i="1" s="1"/>
  <c r="E38" i="1"/>
  <c r="F38" i="1" s="1"/>
  <c r="L38" i="1"/>
  <c r="M38" i="1" s="1"/>
  <c r="L37" i="1"/>
  <c r="M37" i="1" s="1"/>
  <c r="H21" i="1"/>
  <c r="E37" i="1"/>
  <c r="F37" i="1" s="1"/>
  <c r="K25" i="1" l="1"/>
  <c r="K31" i="1" s="1"/>
  <c r="D111" i="1"/>
  <c r="F114" i="1" s="1"/>
  <c r="G106" i="1"/>
  <c r="F106" i="1"/>
  <c r="E106" i="1"/>
  <c r="D106" i="1"/>
  <c r="D114" i="1" l="1"/>
  <c r="E114" i="1"/>
  <c r="G114" i="1"/>
</calcChain>
</file>

<file path=xl/sharedStrings.xml><?xml version="1.0" encoding="utf-8"?>
<sst xmlns="http://schemas.openxmlformats.org/spreadsheetml/2006/main" count="183" uniqueCount="143">
  <si>
    <t>Examen terminal en ANALYSE FINANCIERE DES RISQUES</t>
  </si>
  <si>
    <t>UM2 IAE M2 SIAD 2015-2016      Pr. Alain FRANCOIS-HEUDE</t>
  </si>
  <si>
    <t>Exercice N° 1</t>
  </si>
  <si>
    <t>S =</t>
  </si>
  <si>
    <t>E =</t>
  </si>
  <si>
    <t xml:space="preserve">r = </t>
  </si>
  <si>
    <t>T =</t>
  </si>
  <si>
    <t>σ =</t>
  </si>
  <si>
    <t>d1 =</t>
  </si>
  <si>
    <t>Q01 : Prix du CALL</t>
  </si>
  <si>
    <r>
      <t xml:space="preserve">Recherche de la valeur de la volatilité </t>
    </r>
    <r>
      <rPr>
        <sz val="11"/>
        <color theme="1"/>
        <rFont val="Calibri"/>
        <family val="2"/>
      </rPr>
      <t>σ</t>
    </r>
  </si>
  <si>
    <t xml:space="preserve"> σ = 30%</t>
  </si>
  <si>
    <t>lecture  N(d1) dans table</t>
  </si>
  <si>
    <t xml:space="preserve">calcul de d2 = </t>
  </si>
  <si>
    <t>lecture  N(d2) dans table</t>
  </si>
  <si>
    <t>Call =</t>
  </si>
  <si>
    <t>Q02 : Prix du PUT</t>
  </si>
  <si>
    <t xml:space="preserve">Relation de parité </t>
  </si>
  <si>
    <t>avec le calcul direct du PUT</t>
  </si>
  <si>
    <t>verification</t>
  </si>
  <si>
    <t>PUT =</t>
  </si>
  <si>
    <t>Q03 : Delta et Gamma du CALL et du PUT</t>
  </si>
  <si>
    <t>σ = 175%</t>
  </si>
  <si>
    <t>σ = 25%</t>
  </si>
  <si>
    <t>CALL</t>
  </si>
  <si>
    <t>PUT</t>
  </si>
  <si>
    <t>lecture  f(d1) dans table</t>
  </si>
  <si>
    <t xml:space="preserve">Delta </t>
  </si>
  <si>
    <t>∆</t>
  </si>
  <si>
    <t>Gamma</t>
  </si>
  <si>
    <t>Г</t>
  </si>
  <si>
    <t>solution 1</t>
  </si>
  <si>
    <t>solution 2</t>
  </si>
  <si>
    <t>si la seconde racine est retenue (σ = 10%) alors le call vaut</t>
  </si>
  <si>
    <t>si σ = 10%</t>
  </si>
  <si>
    <t>Exercice N° 2</t>
  </si>
  <si>
    <t>BID</t>
  </si>
  <si>
    <t>ASK</t>
  </si>
  <si>
    <t>MID</t>
  </si>
  <si>
    <t>Offert</t>
  </si>
  <si>
    <t>Demandé</t>
  </si>
  <si>
    <t>Moyen</t>
  </si>
  <si>
    <t>Taux £ spot 3m</t>
  </si>
  <si>
    <t>USD-NOK Fwd 3mth</t>
  </si>
  <si>
    <t>USD-GBP Spot</t>
  </si>
  <si>
    <t>Taux $ spot 3m</t>
  </si>
  <si>
    <t>Taux Norge spot 3m</t>
  </si>
  <si>
    <t>Q04 : Change NOK-GBP en spot et en Mid</t>
  </si>
  <si>
    <t>USD-NOK spot</t>
  </si>
  <si>
    <t>NOK-GBP spot</t>
  </si>
  <si>
    <t xml:space="preserve">   NOK --&gt; USD  --&gt;  GBP</t>
  </si>
  <si>
    <t>Q05 : Change GBP-NOK en Fwd 3 mois et en Bid-Ask</t>
  </si>
  <si>
    <t>USD-GBP Fwd 3mth</t>
  </si>
  <si>
    <t>GBP-NOK Fwd 3mth</t>
  </si>
  <si>
    <t>Exercice N° 3</t>
  </si>
  <si>
    <t>Q = x S + y C + z P</t>
  </si>
  <si>
    <t xml:space="preserve">avec </t>
  </si>
  <si>
    <t>Titres</t>
  </si>
  <si>
    <t>N(d1) =</t>
  </si>
  <si>
    <t>N(d2) =</t>
  </si>
  <si>
    <r>
      <t>Г</t>
    </r>
    <r>
      <rPr>
        <vertAlign val="subscript"/>
        <sz val="11"/>
        <color theme="1"/>
        <rFont val="Calibri"/>
        <family val="2"/>
        <scheme val="minor"/>
      </rPr>
      <t>C</t>
    </r>
  </si>
  <si>
    <t>Valeur</t>
  </si>
  <si>
    <t>Call</t>
  </si>
  <si>
    <t>Anticipation</t>
  </si>
  <si>
    <t>Directionnelle --&gt;  Baisse du cours attendue car vente de Call  (voir le signe du delta du portefeuille)</t>
  </si>
  <si>
    <t>Volatiliste --&gt;  Baisse de volatilité attendue car vente d'option  (voir le signe du vega du portefeuille)</t>
  </si>
  <si>
    <t>Qté</t>
  </si>
  <si>
    <t>Delta</t>
  </si>
  <si>
    <t>Vega</t>
  </si>
  <si>
    <t>S</t>
  </si>
  <si>
    <t>C</t>
  </si>
  <si>
    <t>Q</t>
  </si>
  <si>
    <t>Quantité détenue</t>
  </si>
  <si>
    <t xml:space="preserve">CALL </t>
  </si>
  <si>
    <t>MARCHE</t>
  </si>
  <si>
    <t>Titre</t>
  </si>
  <si>
    <t xml:space="preserve">PUT </t>
  </si>
  <si>
    <t>Portefeuille Q0</t>
  </si>
  <si>
    <t>prix en 0</t>
  </si>
  <si>
    <t>prix d'Exercice</t>
  </si>
  <si>
    <t>taux d'intérêt/an</t>
  </si>
  <si>
    <t>volatilité/an</t>
  </si>
  <si>
    <t>écheance (en année)</t>
  </si>
  <si>
    <t>Portefeuille en  delta neutre ?</t>
  </si>
  <si>
    <t>d1</t>
  </si>
  <si>
    <t>d2</t>
  </si>
  <si>
    <t>Portefeuille Q1</t>
  </si>
  <si>
    <t>Nb Titres = - delta de Q</t>
  </si>
  <si>
    <t>Véga</t>
  </si>
  <si>
    <t>Portefeuille en  delta-gamma  neutre ?</t>
  </si>
  <si>
    <t xml:space="preserve">avec PUT </t>
  </si>
  <si>
    <t>Nb Titres =Nb initial  - [ delta de Q + (- gamma Q / gamma Put)*delta P ]</t>
  </si>
  <si>
    <t>Portefeuille Q2</t>
  </si>
  <si>
    <t>Nb Put C = - gamma Q initial / gamma Put</t>
  </si>
  <si>
    <t>f(d1)</t>
  </si>
  <si>
    <t>calcul de</t>
  </si>
  <si>
    <t>vérification</t>
  </si>
  <si>
    <t>Portefeuille</t>
  </si>
  <si>
    <t>Quantité</t>
  </si>
  <si>
    <t>d2 =</t>
  </si>
  <si>
    <t>Q06 : Anticipation directionelle et volatiliste</t>
  </si>
  <si>
    <t>Q07 : Delta et Gamma du portefeuille</t>
  </si>
  <si>
    <t>Q08 : Portefeuille en Delta-Gamma neutre</t>
  </si>
  <si>
    <t>Exercice N° 4</t>
  </si>
  <si>
    <t>CAC Spot</t>
  </si>
  <si>
    <t>Euribor 1m</t>
  </si>
  <si>
    <t>Tx Div continu</t>
  </si>
  <si>
    <t>CAC Fwd 1m</t>
  </si>
  <si>
    <t xml:space="preserve"> '= Spot * exp ( r - d ) 1/12</t>
  </si>
  <si>
    <t>Anticipation du Cac Spot dans 1 mois = Cac Fwd 1m aujourd'hui</t>
  </si>
  <si>
    <t>Q09 : CAC Fwd 1 mois</t>
  </si>
  <si>
    <t>Q10 : Annuité constante</t>
  </si>
  <si>
    <t>Nominal</t>
  </si>
  <si>
    <t>Durée</t>
  </si>
  <si>
    <t>Taux nominal</t>
  </si>
  <si>
    <t>le taux actuariel est inutile</t>
  </si>
  <si>
    <t>Annuité Cste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</si>
  <si>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</si>
  <si>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</si>
  <si>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</si>
  <si>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</si>
  <si>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</si>
  <si>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</si>
  <si>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</si>
  <si>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</si>
  <si>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</si>
  <si>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</si>
  <si>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Exercice 1</t>
  </si>
  <si>
    <t>Exercice 2</t>
  </si>
  <si>
    <t>Exercice 3</t>
  </si>
  <si>
    <t>Exercice 4</t>
  </si>
  <si>
    <t>NOTE CT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</si>
  <si>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</si>
  <si>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</si>
  <si>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</si>
  <si>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</si>
  <si>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</si>
  <si>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</si>
  <si>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</si>
  <si>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</si>
  <si>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</si>
  <si>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Moyenne</t>
  </si>
  <si>
    <t>Ecart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</si>
</sst>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7" formatCode="0.000"/>
    <numFmt numFmtId="168" formatCode="0.00000"/>
    <numFmt numFmtId="170" formatCode="0.0000000"/>
    <numFmt numFmtId="171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2" xfId="0" applyBorder="1"/>
    <xf numFmtId="0" fontId="0" fillId="2" borderId="0" xfId="0" applyFill="1"/>
    <xf numFmtId="2" fontId="0" fillId="0" borderId="0" xfId="0" applyNumberFormat="1"/>
    <xf numFmtId="9" fontId="0" fillId="0" borderId="0" xfId="0" applyNumberFormat="1"/>
    <xf numFmtId="164" fontId="0" fillId="0" borderId="0" xfId="0" applyNumberFormat="1"/>
    <xf numFmtId="0" fontId="2" fillId="3" borderId="0" xfId="0" applyFont="1" applyFill="1"/>
    <xf numFmtId="0" fontId="2" fillId="4" borderId="3" xfId="0" applyFont="1" applyFill="1" applyBorder="1" applyAlignment="1">
      <alignment horizontal="center"/>
    </xf>
    <xf numFmtId="164" fontId="2" fillId="0" borderId="0" xfId="0" applyNumberFormat="1" applyFont="1"/>
    <xf numFmtId="2" fontId="2" fillId="4" borderId="3" xfId="0" applyNumberFormat="1" applyFont="1" applyFill="1" applyBorder="1" applyAlignment="1">
      <alignment horizontal="center"/>
    </xf>
    <xf numFmtId="0" fontId="4" fillId="0" borderId="0" xfId="0" applyFont="1"/>
    <xf numFmtId="2" fontId="2" fillId="5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170" fontId="0" fillId="0" borderId="0" xfId="1" applyNumberFormat="1" applyFont="1"/>
    <xf numFmtId="0" fontId="2" fillId="0" borderId="0" xfId="0" applyFont="1" applyAlignment="1">
      <alignment horizontal="right"/>
    </xf>
    <xf numFmtId="168" fontId="0" fillId="0" borderId="0" xfId="0" applyNumberFormat="1"/>
    <xf numFmtId="0" fontId="2" fillId="0" borderId="3" xfId="0" applyFont="1" applyBorder="1"/>
    <xf numFmtId="167" fontId="0" fillId="0" borderId="0" xfId="0" applyNumberFormat="1"/>
    <xf numFmtId="10" fontId="0" fillId="0" borderId="0" xfId="0" applyNumberFormat="1"/>
    <xf numFmtId="0" fontId="2" fillId="3" borderId="1" xfId="0" applyFont="1" applyFill="1" applyBorder="1"/>
    <xf numFmtId="0" fontId="0" fillId="3" borderId="4" xfId="0" applyFill="1" applyBorder="1"/>
    <xf numFmtId="0" fontId="0" fillId="3" borderId="2" xfId="0" applyFill="1" applyBorder="1"/>
    <xf numFmtId="164" fontId="2" fillId="4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/>
    <xf numFmtId="0" fontId="6" fillId="0" borderId="5" xfId="0" applyFont="1" applyBorder="1"/>
    <xf numFmtId="0" fontId="7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7" borderId="5" xfId="0" applyFill="1" applyBorder="1"/>
    <xf numFmtId="0" fontId="7" fillId="4" borderId="5" xfId="0" applyFont="1" applyFill="1" applyBorder="1" applyAlignment="1">
      <alignment horizontal="center"/>
    </xf>
    <xf numFmtId="0" fontId="7" fillId="6" borderId="5" xfId="0" applyFont="1" applyFill="1" applyBorder="1"/>
    <xf numFmtId="1" fontId="8" fillId="8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6" xfId="0" applyNumberFormat="1" applyBorder="1" applyAlignment="1">
      <alignment horizontal="center"/>
    </xf>
    <xf numFmtId="0" fontId="7" fillId="6" borderId="7" xfId="0" applyFont="1" applyFill="1" applyBorder="1"/>
    <xf numFmtId="2" fontId="0" fillId="6" borderId="5" xfId="0" applyNumberFormat="1" applyFill="1" applyBorder="1" applyAlignment="1">
      <alignment horizontal="center"/>
    </xf>
    <xf numFmtId="171" fontId="0" fillId="6" borderId="5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7" fillId="7" borderId="0" xfId="0" applyFont="1" applyFill="1" applyBorder="1"/>
    <xf numFmtId="0" fontId="0" fillId="7" borderId="0" xfId="0" applyFill="1"/>
    <xf numFmtId="0" fontId="6" fillId="7" borderId="0" xfId="0" applyFont="1" applyFill="1"/>
    <xf numFmtId="0" fontId="0" fillId="0" borderId="0" xfId="0" applyAlignment="1">
      <alignment horizontal="right"/>
    </xf>
    <xf numFmtId="0" fontId="8" fillId="0" borderId="0" xfId="0" applyFont="1"/>
    <xf numFmtId="0" fontId="7" fillId="9" borderId="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0" fontId="7" fillId="10" borderId="0" xfId="0" applyFont="1" applyFill="1"/>
    <xf numFmtId="2" fontId="8" fillId="8" borderId="5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/>
    <xf numFmtId="3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7" fillId="9" borderId="5" xfId="0" applyNumberFormat="1" applyFont="1" applyFill="1" applyBorder="1" applyAlignment="1">
      <alignment horizontal="center"/>
    </xf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14" fontId="0" fillId="0" borderId="0" xfId="0" applyNumberFormat="1"/>
    <xf numFmtId="2" fontId="2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704850</xdr:colOff>
          <xdr:row>7</xdr:row>
          <xdr:rowOff>28575</xdr:rowOff>
        </xdr:from>
        <xdr:to>
          <xdr:col>13</xdr:col>
          <xdr:colOff>200025</xdr:colOff>
          <xdr:row>19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16</xdr:row>
          <xdr:rowOff>190500</xdr:rowOff>
        </xdr:from>
        <xdr:to>
          <xdr:col>4</xdr:col>
          <xdr:colOff>485775</xdr:colOff>
          <xdr:row>18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438150</xdr:colOff>
          <xdr:row>29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3"/>
  <sheetViews>
    <sheetView topLeftCell="A109" workbookViewId="0">
      <selection activeCell="J123" sqref="J123"/>
    </sheetView>
  </sheetViews>
  <sheetFormatPr baseColWidth="10" defaultRowHeight="15" x14ac:dyDescent="0.25"/>
  <cols>
    <col min="2" max="2" width="12.42578125" customWidth="1"/>
    <col min="7" max="7" width="16.7109375" customWidth="1"/>
  </cols>
  <sheetData>
    <row r="1" spans="1:13" x14ac:dyDescent="0.25">
      <c r="A1" s="1" t="s">
        <v>1</v>
      </c>
    </row>
    <row r="2" spans="1:13" x14ac:dyDescent="0.25">
      <c r="A2" s="1"/>
    </row>
    <row r="3" spans="1:13" x14ac:dyDescent="0.25">
      <c r="A3" s="1" t="s">
        <v>0</v>
      </c>
    </row>
    <row r="4" spans="1:13" ht="15.75" thickBot="1" x14ac:dyDescent="0.3"/>
    <row r="5" spans="1:13" ht="15.75" thickBot="1" x14ac:dyDescent="0.3">
      <c r="A5" s="2" t="s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B6" t="s">
        <v>3</v>
      </c>
      <c r="C6" s="5">
        <v>88</v>
      </c>
    </row>
    <row r="7" spans="1:13" x14ac:dyDescent="0.25">
      <c r="B7" t="s">
        <v>4</v>
      </c>
      <c r="C7" s="5">
        <v>90</v>
      </c>
    </row>
    <row r="8" spans="1:13" x14ac:dyDescent="0.25">
      <c r="B8" t="s">
        <v>5</v>
      </c>
      <c r="C8" s="6">
        <v>0.06</v>
      </c>
    </row>
    <row r="9" spans="1:13" x14ac:dyDescent="0.25">
      <c r="B9" t="s">
        <v>6</v>
      </c>
      <c r="C9">
        <v>0.5</v>
      </c>
      <c r="E9" t="s">
        <v>7</v>
      </c>
      <c r="F9" s="6">
        <v>0.3</v>
      </c>
    </row>
    <row r="11" spans="1:13" x14ac:dyDescent="0.25">
      <c r="B11" t="s">
        <v>8</v>
      </c>
      <c r="C11" s="7">
        <f>(LN(C6/C7)+(C8+F9*F9/2)*C9)/(F9*SQRT(C9))</f>
        <v>0.14154931497783532</v>
      </c>
      <c r="H11">
        <f>(LN(C6/C7)+(C8+H16*H16/2)*C9)/(H16*SQRT(C9))</f>
        <v>0.14154931497783529</v>
      </c>
    </row>
    <row r="14" spans="1:13" x14ac:dyDescent="0.25">
      <c r="A14" s="8" t="s">
        <v>9</v>
      </c>
      <c r="B14" s="8"/>
    </row>
    <row r="15" spans="1:13" ht="15.75" thickBot="1" x14ac:dyDescent="0.3">
      <c r="C15" t="s">
        <v>10</v>
      </c>
      <c r="G15" s="21" t="s">
        <v>31</v>
      </c>
      <c r="H15" s="21" t="s">
        <v>32</v>
      </c>
    </row>
    <row r="16" spans="1:13" ht="15.75" thickBot="1" x14ac:dyDescent="0.3">
      <c r="D16" s="9" t="s">
        <v>11</v>
      </c>
      <c r="F16" s="20">
        <f>C11*C11*C9-2*C9*(LN(C6/C7)+C8*C9)</f>
        <v>2.4909601374058475E-3</v>
      </c>
      <c r="G16" s="19">
        <f>C11/SQRT(C9)+SQRT(F16)/C9</f>
        <v>0.29999999999999993</v>
      </c>
      <c r="H16" s="19">
        <f>C11/SQRT(C9)-SQRT(F16)/C9</f>
        <v>0.10036192197255159</v>
      </c>
    </row>
    <row r="21" spans="1:11" x14ac:dyDescent="0.25">
      <c r="C21" t="s">
        <v>12</v>
      </c>
      <c r="G21" s="10">
        <f>NORMDIST(C11,0,1,TRUE)</f>
        <v>0.55628199776586296</v>
      </c>
      <c r="H21" s="7">
        <f>G21</f>
        <v>0.55628199776586296</v>
      </c>
    </row>
    <row r="22" spans="1:11" x14ac:dyDescent="0.25">
      <c r="C22" t="s">
        <v>13</v>
      </c>
      <c r="G22" s="7">
        <f>C11-G16*SQRT(C9)</f>
        <v>-7.0582719378128905E-2</v>
      </c>
      <c r="H22" s="7">
        <f>C11-H16*SQRT(C9)</f>
        <v>7.0582719378128919E-2</v>
      </c>
    </row>
    <row r="23" spans="1:11" x14ac:dyDescent="0.25">
      <c r="C23" t="s">
        <v>14</v>
      </c>
      <c r="G23" s="10">
        <f>NORMDIST(G22,0,1,TRUE)</f>
        <v>0.47186493202247581</v>
      </c>
      <c r="H23" s="7">
        <f>NORMDIST(H22,0,1,TRUE)</f>
        <v>0.52813506797752419</v>
      </c>
    </row>
    <row r="24" spans="1:11" ht="15.75" thickBot="1" x14ac:dyDescent="0.3"/>
    <row r="25" spans="1:11" ht="15.75" thickBot="1" x14ac:dyDescent="0.3">
      <c r="C25" t="s">
        <v>15</v>
      </c>
      <c r="D25" s="11">
        <f>C6*G21-C7*EXP(-C8*C9)*G23</f>
        <v>7.7400863886515552</v>
      </c>
      <c r="F25" s="12" t="s">
        <v>33</v>
      </c>
      <c r="K25" s="13">
        <f>C6*H21-C7*EXP(-C8*C9)*H23</f>
        <v>2.8254471987745902</v>
      </c>
    </row>
    <row r="28" spans="1:11" x14ac:dyDescent="0.25">
      <c r="A28" s="8" t="s">
        <v>16</v>
      </c>
      <c r="B28" s="8"/>
    </row>
    <row r="29" spans="1:11" x14ac:dyDescent="0.25">
      <c r="C29" t="s">
        <v>17</v>
      </c>
      <c r="H29" t="s">
        <v>18</v>
      </c>
      <c r="K29" t="s">
        <v>34</v>
      </c>
    </row>
    <row r="30" spans="1:11" ht="15.75" thickBot="1" x14ac:dyDescent="0.3">
      <c r="H30" t="s">
        <v>19</v>
      </c>
    </row>
    <row r="31" spans="1:11" ht="15.75" thickBot="1" x14ac:dyDescent="0.3">
      <c r="C31" t="s">
        <v>20</v>
      </c>
      <c r="D31" s="11">
        <f>D25-C6+C7*EXP(-C8*C9)</f>
        <v>7.0801844080172884</v>
      </c>
      <c r="H31" s="14">
        <f>C7*EXP(-C8*C9)*NORMDIST(-G22,0,1,TRUE)-C6*NORMDIST(-C11,0,1,TRUE)</f>
        <v>7.0801844080172955</v>
      </c>
      <c r="K31" s="13">
        <f>K25-C6+C7*EXP(-C8*C9)</f>
        <v>2.1655452181403234</v>
      </c>
    </row>
    <row r="33" spans="1:13" x14ac:dyDescent="0.25">
      <c r="A33" s="8" t="s">
        <v>21</v>
      </c>
      <c r="B33" s="8"/>
      <c r="C33" s="15"/>
      <c r="D33" s="15"/>
    </row>
    <row r="34" spans="1:13" x14ac:dyDescent="0.25">
      <c r="L34" t="s">
        <v>22</v>
      </c>
    </row>
    <row r="35" spans="1:13" x14ac:dyDescent="0.25">
      <c r="D35" t="s">
        <v>23</v>
      </c>
    </row>
    <row r="36" spans="1:13" x14ac:dyDescent="0.25">
      <c r="E36" s="16" t="s">
        <v>24</v>
      </c>
      <c r="F36" s="16" t="s">
        <v>25</v>
      </c>
      <c r="H36" t="s">
        <v>26</v>
      </c>
      <c r="J36" s="17">
        <f>NORMDIST(C11,0,1,FALSE)</f>
        <v>0.39496558775252105</v>
      </c>
      <c r="L36" s="16" t="s">
        <v>24</v>
      </c>
      <c r="M36" s="16" t="s">
        <v>25</v>
      </c>
    </row>
    <row r="37" spans="1:13" x14ac:dyDescent="0.25">
      <c r="C37" t="s">
        <v>27</v>
      </c>
      <c r="D37" s="18" t="s">
        <v>28</v>
      </c>
      <c r="E37" s="7">
        <f>G21</f>
        <v>0.55628199776586296</v>
      </c>
      <c r="F37" s="7">
        <f>E37-1</f>
        <v>-0.44371800223413704</v>
      </c>
      <c r="L37" s="7">
        <f>G21</f>
        <v>0.55628199776586296</v>
      </c>
      <c r="M37" s="7">
        <f>L37-1</f>
        <v>-0.44371800223413704</v>
      </c>
    </row>
    <row r="38" spans="1:13" x14ac:dyDescent="0.25">
      <c r="C38" t="s">
        <v>29</v>
      </c>
      <c r="D38" s="18" t="s">
        <v>30</v>
      </c>
      <c r="E38" s="7">
        <f>J36/(G16*C6*SQRT(C9))</f>
        <v>2.1157791320843791E-2</v>
      </c>
      <c r="F38" s="7">
        <f>E38</f>
        <v>2.1157791320843791E-2</v>
      </c>
      <c r="L38" s="7">
        <f>J36/(H16*C6*SQRT(C9))</f>
        <v>6.3244478299141163E-2</v>
      </c>
      <c r="M38" s="7">
        <f>L38</f>
        <v>6.3244478299141163E-2</v>
      </c>
    </row>
    <row r="40" spans="1:13" ht="15.75" thickBot="1" x14ac:dyDescent="0.3"/>
    <row r="41" spans="1:13" ht="15.75" thickBot="1" x14ac:dyDescent="0.3">
      <c r="A41" s="23" t="s">
        <v>35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C42" s="16" t="s">
        <v>36</v>
      </c>
      <c r="D42" s="16" t="s">
        <v>37</v>
      </c>
      <c r="E42" s="16" t="s">
        <v>38</v>
      </c>
      <c r="H42" s="16" t="s">
        <v>39</v>
      </c>
      <c r="I42" s="16" t="s">
        <v>40</v>
      </c>
      <c r="J42" s="16" t="s">
        <v>41</v>
      </c>
    </row>
    <row r="43" spans="1:13" x14ac:dyDescent="0.25">
      <c r="A43" s="1" t="s">
        <v>43</v>
      </c>
      <c r="C43" s="7">
        <v>8.67</v>
      </c>
      <c r="D43" s="7">
        <v>8.6850000000000005</v>
      </c>
      <c r="E43" s="7">
        <f>(C43+D43)/2</f>
        <v>8.6775000000000002</v>
      </c>
      <c r="G43" t="s">
        <v>45</v>
      </c>
      <c r="H43" s="25">
        <v>2.4E-2</v>
      </c>
      <c r="I43" s="25">
        <v>2.5999999999999999E-2</v>
      </c>
      <c r="J43" s="25">
        <f>(H43+I43)/2</f>
        <v>2.5000000000000001E-2</v>
      </c>
      <c r="K43" s="19"/>
    </row>
    <row r="44" spans="1:13" x14ac:dyDescent="0.25">
      <c r="A44" s="1" t="s">
        <v>44</v>
      </c>
      <c r="C44" s="7">
        <v>0.65100000000000002</v>
      </c>
      <c r="D44" s="7">
        <v>0.65980000000000005</v>
      </c>
      <c r="E44" s="7">
        <f>(C44+D44)/2</f>
        <v>0.65539999999999998</v>
      </c>
      <c r="G44" t="s">
        <v>46</v>
      </c>
      <c r="H44" s="25">
        <v>2.1000000000000001E-2</v>
      </c>
      <c r="I44" s="25">
        <v>2.4E-2</v>
      </c>
      <c r="J44" s="25">
        <f t="shared" ref="J44:J45" si="0">(H44+I44)/2</f>
        <v>2.2499999999999999E-2</v>
      </c>
      <c r="K44" s="19"/>
    </row>
    <row r="45" spans="1:13" x14ac:dyDescent="0.25">
      <c r="B45" s="1"/>
      <c r="C45" s="24"/>
      <c r="D45" s="24"/>
      <c r="E45" s="24"/>
      <c r="G45" t="s">
        <v>42</v>
      </c>
      <c r="H45" s="25">
        <v>2.8000000000000001E-2</v>
      </c>
      <c r="I45" s="25">
        <v>2.1999999999999999E-2</v>
      </c>
      <c r="J45" s="25">
        <f t="shared" si="0"/>
        <v>2.5000000000000001E-2</v>
      </c>
      <c r="K45" s="19"/>
    </row>
    <row r="46" spans="1:13" ht="15.75" thickBot="1" x14ac:dyDescent="0.3">
      <c r="J46" s="25"/>
    </row>
    <row r="47" spans="1:13" ht="15.75" thickBot="1" x14ac:dyDescent="0.3">
      <c r="A47" s="26" t="s">
        <v>47</v>
      </c>
      <c r="B47" s="27"/>
      <c r="C47" s="28"/>
      <c r="D47" s="27"/>
      <c r="E47" s="28"/>
    </row>
    <row r="49" spans="1:13" x14ac:dyDescent="0.25">
      <c r="C49" s="16" t="s">
        <v>38</v>
      </c>
    </row>
    <row r="50" spans="1:13" ht="15.75" thickBot="1" x14ac:dyDescent="0.3">
      <c r="A50" t="s">
        <v>48</v>
      </c>
      <c r="C50" s="17">
        <f>E43*(1+J43/4)/(1+J44/4)</f>
        <v>8.682893101305158</v>
      </c>
      <c r="D50" t="s">
        <v>50</v>
      </c>
    </row>
    <row r="51" spans="1:13" ht="15.75" thickBot="1" x14ac:dyDescent="0.3">
      <c r="A51" t="s">
        <v>49</v>
      </c>
      <c r="C51" s="29">
        <f>(1/C50)*E44</f>
        <v>7.5481753875500823E-2</v>
      </c>
    </row>
    <row r="52" spans="1:13" ht="15.75" thickBot="1" x14ac:dyDescent="0.3"/>
    <row r="53" spans="1:13" ht="15.75" thickBot="1" x14ac:dyDescent="0.3">
      <c r="A53" s="26" t="s">
        <v>51</v>
      </c>
      <c r="B53" s="27"/>
      <c r="C53" s="28"/>
      <c r="D53" s="27"/>
      <c r="E53" s="28"/>
    </row>
    <row r="54" spans="1:13" x14ac:dyDescent="0.25">
      <c r="H54" s="16"/>
      <c r="I54" s="16"/>
    </row>
    <row r="55" spans="1:13" x14ac:dyDescent="0.25">
      <c r="C55" s="16" t="s">
        <v>36</v>
      </c>
      <c r="D55" s="16" t="s">
        <v>37</v>
      </c>
      <c r="H55" s="30"/>
      <c r="I55" s="30"/>
    </row>
    <row r="56" spans="1:13" ht="15.75" thickBot="1" x14ac:dyDescent="0.3">
      <c r="A56" s="1" t="s">
        <v>52</v>
      </c>
      <c r="C56" s="17">
        <f>C44*(1+H45/4)/(1+I43/4)</f>
        <v>0.65132339791356186</v>
      </c>
      <c r="D56" s="16">
        <f>D44*(1+I44/4)/(1+H43/4)</f>
        <v>0.65980000000000005</v>
      </c>
      <c r="H56" s="30"/>
      <c r="I56" s="30"/>
    </row>
    <row r="57" spans="1:13" ht="15.75" thickBot="1" x14ac:dyDescent="0.3">
      <c r="A57" t="s">
        <v>53</v>
      </c>
      <c r="C57" s="29">
        <f>(1/D56)*C43</f>
        <v>13.14034555926038</v>
      </c>
      <c r="D57" s="29">
        <f>(1/C56)*D43</f>
        <v>13.334389686937978</v>
      </c>
    </row>
    <row r="59" spans="1:13" x14ac:dyDescent="0.25">
      <c r="C59">
        <f>1/D57</f>
        <v>7.4994058481699696E-2</v>
      </c>
      <c r="D59">
        <f>1/C57</f>
        <v>7.6101499423298746E-2</v>
      </c>
    </row>
    <row r="60" spans="1:13" ht="15.75" thickBot="1" x14ac:dyDescent="0.3"/>
    <row r="61" spans="1:13" ht="15.75" thickBot="1" x14ac:dyDescent="0.3">
      <c r="A61" s="23" t="s">
        <v>54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3" spans="1:13" x14ac:dyDescent="0.25">
      <c r="B63" t="s">
        <v>55</v>
      </c>
      <c r="D63" t="s">
        <v>56</v>
      </c>
      <c r="I63" t="s">
        <v>96</v>
      </c>
    </row>
    <row r="64" spans="1:13" x14ac:dyDescent="0.25">
      <c r="G64" t="s">
        <v>94</v>
      </c>
      <c r="H64" s="67">
        <v>0.39889999999999998</v>
      </c>
      <c r="I64" s="7">
        <f>NORMDIST(H67,0,1,FALSE)</f>
        <v>0.39888255847551518</v>
      </c>
    </row>
    <row r="65" spans="1:9" x14ac:dyDescent="0.25">
      <c r="C65" s="42" t="s">
        <v>24</v>
      </c>
      <c r="G65" t="s">
        <v>58</v>
      </c>
      <c r="H65" s="67">
        <v>0.50760000000000005</v>
      </c>
      <c r="I65" s="7">
        <f>NORMDIST(H67,0,1,TRUE)</f>
        <v>0.5069028989348292</v>
      </c>
    </row>
    <row r="66" spans="1:9" x14ac:dyDescent="0.25">
      <c r="B66" t="s">
        <v>3</v>
      </c>
      <c r="C66" s="65">
        <v>142</v>
      </c>
    </row>
    <row r="67" spans="1:9" x14ac:dyDescent="0.25">
      <c r="B67" t="s">
        <v>4</v>
      </c>
      <c r="C67" s="65">
        <v>145</v>
      </c>
      <c r="F67" t="s">
        <v>95</v>
      </c>
      <c r="G67" t="s">
        <v>8</v>
      </c>
      <c r="H67" s="10">
        <f>(LN(C66/C67)+(C68+C70*C70/2)*C69)/(C70*SQRT(C70))</f>
        <v>1.7303865139541748E-2</v>
      </c>
    </row>
    <row r="68" spans="1:9" x14ac:dyDescent="0.25">
      <c r="B68" t="s">
        <v>5</v>
      </c>
      <c r="C68" s="66">
        <v>0.05</v>
      </c>
      <c r="G68" t="s">
        <v>99</v>
      </c>
      <c r="H68" s="7">
        <f>H67-C70*SQRT(C69)</f>
        <v>-0.13269613486045825</v>
      </c>
    </row>
    <row r="69" spans="1:9" x14ac:dyDescent="0.25">
      <c r="B69" t="s">
        <v>6</v>
      </c>
      <c r="C69" s="65">
        <v>0.25</v>
      </c>
      <c r="G69" t="s">
        <v>59</v>
      </c>
      <c r="H69" s="22">
        <f>NORMDIST(H68,0,1,TRUE)</f>
        <v>0.4472168498838649</v>
      </c>
    </row>
    <row r="70" spans="1:9" x14ac:dyDescent="0.25">
      <c r="B70" t="s">
        <v>7</v>
      </c>
      <c r="C70" s="66">
        <v>0.3</v>
      </c>
      <c r="G70" t="s">
        <v>24</v>
      </c>
      <c r="H70" s="30">
        <f>C66*H65-C67*EXP(-C68*C69)*H69</f>
        <v>8.0382922219441184</v>
      </c>
    </row>
    <row r="71" spans="1:9" x14ac:dyDescent="0.25">
      <c r="C71" s="71">
        <v>7.9390000000000001</v>
      </c>
    </row>
    <row r="72" spans="1:9" x14ac:dyDescent="0.25">
      <c r="C72" s="5"/>
    </row>
    <row r="73" spans="1:9" x14ac:dyDescent="0.25">
      <c r="B73" t="s">
        <v>97</v>
      </c>
      <c r="C73" s="42" t="s">
        <v>57</v>
      </c>
      <c r="D73" s="42" t="s">
        <v>62</v>
      </c>
    </row>
    <row r="74" spans="1:9" x14ac:dyDescent="0.25">
      <c r="A74" t="s">
        <v>98</v>
      </c>
      <c r="C74" s="69">
        <v>500</v>
      </c>
      <c r="D74" s="68">
        <v>-1200</v>
      </c>
    </row>
    <row r="75" spans="1:9" x14ac:dyDescent="0.25">
      <c r="A75" t="s">
        <v>61</v>
      </c>
      <c r="B75" s="16">
        <f>C75+D75</f>
        <v>61473.2</v>
      </c>
      <c r="C75" s="70">
        <f>C74*C66</f>
        <v>71000</v>
      </c>
      <c r="D75" s="70">
        <f>D74*C71</f>
        <v>-9526.7999999999993</v>
      </c>
    </row>
    <row r="76" spans="1:9" x14ac:dyDescent="0.25">
      <c r="C76" s="31"/>
    </row>
    <row r="78" spans="1:9" x14ac:dyDescent="0.25">
      <c r="A78" s="8" t="s">
        <v>100</v>
      </c>
      <c r="B78" s="8"/>
      <c r="C78" s="15"/>
      <c r="D78" s="15"/>
      <c r="E78" s="15"/>
    </row>
    <row r="80" spans="1:9" x14ac:dyDescent="0.25">
      <c r="B80" t="s">
        <v>63</v>
      </c>
    </row>
    <row r="81" spans="1:14" ht="18" x14ac:dyDescent="0.35">
      <c r="C81" t="s">
        <v>64</v>
      </c>
      <c r="L81" t="s">
        <v>60</v>
      </c>
    </row>
    <row r="82" spans="1:14" x14ac:dyDescent="0.25">
      <c r="C82" t="s">
        <v>65</v>
      </c>
    </row>
    <row r="84" spans="1:14" x14ac:dyDescent="0.25">
      <c r="A84" s="8" t="s">
        <v>101</v>
      </c>
      <c r="B84" s="8"/>
      <c r="C84" s="15"/>
      <c r="D84" s="15"/>
      <c r="E84" s="15"/>
    </row>
    <row r="86" spans="1:14" x14ac:dyDescent="0.25">
      <c r="C86" s="16" t="s">
        <v>66</v>
      </c>
      <c r="D86" s="16" t="s">
        <v>67</v>
      </c>
      <c r="E86" s="16" t="s">
        <v>29</v>
      </c>
    </row>
    <row r="87" spans="1:14" x14ac:dyDescent="0.25">
      <c r="B87" t="s">
        <v>69</v>
      </c>
      <c r="C87">
        <v>500</v>
      </c>
      <c r="D87">
        <v>1</v>
      </c>
      <c r="E87">
        <v>0</v>
      </c>
    </row>
    <row r="88" spans="1:14" x14ac:dyDescent="0.25">
      <c r="B88" t="s">
        <v>70</v>
      </c>
      <c r="C88">
        <v>-1200</v>
      </c>
      <c r="D88">
        <f>H65</f>
        <v>0.50760000000000005</v>
      </c>
      <c r="E88" s="22">
        <f>H64/(C66*C70*SQRT(C69))</f>
        <v>1.872769953051643E-2</v>
      </c>
    </row>
    <row r="89" spans="1:14" ht="15.75" thickBot="1" x14ac:dyDescent="0.3"/>
    <row r="90" spans="1:14" ht="15.75" thickBot="1" x14ac:dyDescent="0.3">
      <c r="B90" t="s">
        <v>71</v>
      </c>
      <c r="D90" s="11">
        <f>C87*D87+C88*D88</f>
        <v>-109.12000000000012</v>
      </c>
      <c r="E90" s="11">
        <f>C87*E87+C88*E88</f>
        <v>-22.473239436619714</v>
      </c>
    </row>
    <row r="92" spans="1:14" x14ac:dyDescent="0.25">
      <c r="A92" s="8" t="s">
        <v>102</v>
      </c>
      <c r="B92" s="8"/>
      <c r="C92" s="15"/>
      <c r="D92" s="15"/>
      <c r="E92" s="15"/>
    </row>
    <row r="94" spans="1:14" x14ac:dyDescent="0.25">
      <c r="C94" s="32" t="s">
        <v>72</v>
      </c>
      <c r="D94" s="33" t="s">
        <v>57</v>
      </c>
      <c r="E94" s="34" t="s">
        <v>73</v>
      </c>
      <c r="F94" s="34"/>
      <c r="K94" s="35" t="s">
        <v>74</v>
      </c>
      <c r="L94" s="36" t="s">
        <v>75</v>
      </c>
      <c r="M94" s="34" t="s">
        <v>73</v>
      </c>
      <c r="N94" s="34" t="s">
        <v>76</v>
      </c>
    </row>
    <row r="95" spans="1:14" x14ac:dyDescent="0.25">
      <c r="C95" s="37" t="s">
        <v>77</v>
      </c>
      <c r="D95" s="38">
        <v>500</v>
      </c>
      <c r="E95" s="39">
        <v>-1200</v>
      </c>
      <c r="F95" s="39"/>
      <c r="K95" s="40" t="s">
        <v>78</v>
      </c>
      <c r="L95" s="41">
        <v>142</v>
      </c>
      <c r="M95" s="41">
        <v>142</v>
      </c>
      <c r="N95" s="41">
        <f>L95</f>
        <v>142</v>
      </c>
    </row>
    <row r="96" spans="1:14" x14ac:dyDescent="0.25">
      <c r="E96" s="42"/>
      <c r="F96" s="42"/>
      <c r="G96" s="42"/>
      <c r="H96" s="42"/>
      <c r="I96" s="42"/>
      <c r="K96" s="40" t="s">
        <v>79</v>
      </c>
      <c r="L96" s="40"/>
      <c r="M96" s="41">
        <v>145</v>
      </c>
      <c r="N96" s="41">
        <v>150</v>
      </c>
    </row>
    <row r="97" spans="3:14" x14ac:dyDescent="0.25">
      <c r="C97" s="42"/>
      <c r="D97" s="33" t="s">
        <v>61</v>
      </c>
      <c r="E97" s="33" t="s">
        <v>67</v>
      </c>
      <c r="F97" s="33" t="s">
        <v>29</v>
      </c>
      <c r="G97" s="33" t="s">
        <v>68</v>
      </c>
      <c r="H97" s="42"/>
      <c r="I97" s="42"/>
      <c r="K97" s="40" t="s">
        <v>80</v>
      </c>
      <c r="L97" s="40"/>
      <c r="M97" s="43">
        <v>0.05</v>
      </c>
      <c r="N97" s="43">
        <v>0.05</v>
      </c>
    </row>
    <row r="98" spans="3:14" x14ac:dyDescent="0.25">
      <c r="C98" s="44" t="s">
        <v>77</v>
      </c>
      <c r="D98" s="45">
        <f>D95*L104+E95*M104</f>
        <v>61472.821451502008</v>
      </c>
      <c r="E98" s="46">
        <f>D95*L105+E95*M105</f>
        <v>-109.07400573884729</v>
      </c>
      <c r="F98" s="46">
        <f>D95*L106+E95*M106</f>
        <v>-22.471583952857685</v>
      </c>
      <c r="G98" s="47">
        <f>D95*L107+E95*M107</f>
        <v>-33983.776411906678</v>
      </c>
      <c r="H98" s="42"/>
      <c r="I98" s="42"/>
      <c r="K98" s="40" t="s">
        <v>81</v>
      </c>
      <c r="L98" s="40"/>
      <c r="M98" s="43">
        <v>0.3</v>
      </c>
      <c r="N98" s="43">
        <v>0.3</v>
      </c>
    </row>
    <row r="99" spans="3:14" x14ac:dyDescent="0.25">
      <c r="K99" s="48" t="s">
        <v>82</v>
      </c>
      <c r="L99" s="48"/>
      <c r="M99" s="49">
        <v>0.25</v>
      </c>
      <c r="N99" s="50">
        <v>0.25</v>
      </c>
    </row>
    <row r="100" spans="3:14" x14ac:dyDescent="0.25">
      <c r="C100" s="51" t="s">
        <v>83</v>
      </c>
      <c r="D100" s="52"/>
      <c r="E100" s="52"/>
      <c r="F100" s="52"/>
      <c r="G100" s="52"/>
      <c r="H100" s="53"/>
      <c r="I100" s="53"/>
      <c r="M100" s="6"/>
      <c r="N100" s="6"/>
    </row>
    <row r="101" spans="3:14" x14ac:dyDescent="0.25">
      <c r="K101" s="54" t="s">
        <v>84</v>
      </c>
      <c r="L101" s="54"/>
      <c r="M101" s="30">
        <f>(LN(M95/M96)+(M97+M98*M98/2)*M99)/(M98*SQRT(M99))</f>
        <v>1.8955434537908586E-2</v>
      </c>
      <c r="N101" s="30">
        <f>(LN(N95/N96)+(N97+N98*N98/2)*N99)/(N98*SQRT(N99))</f>
        <v>-0.20705490996663353</v>
      </c>
    </row>
    <row r="102" spans="3:14" x14ac:dyDescent="0.25">
      <c r="C102" s="32" t="s">
        <v>72</v>
      </c>
      <c r="D102" s="33" t="s">
        <v>57</v>
      </c>
      <c r="E102" s="34" t="s">
        <v>73</v>
      </c>
      <c r="F102" s="34"/>
      <c r="K102" s="54" t="s">
        <v>85</v>
      </c>
      <c r="L102" s="54"/>
      <c r="M102" s="30">
        <f>M101-M98*SQRT(M99)</f>
        <v>-0.13104456546209142</v>
      </c>
      <c r="N102" s="30">
        <f>N101-N98*SQRT(N99)</f>
        <v>-0.35705490996663353</v>
      </c>
    </row>
    <row r="103" spans="3:14" x14ac:dyDescent="0.25">
      <c r="C103" s="37" t="s">
        <v>86</v>
      </c>
      <c r="D103" s="38">
        <f>D95-E98</f>
        <v>609.07400573884729</v>
      </c>
      <c r="E103" s="39">
        <f>E95</f>
        <v>-1200</v>
      </c>
      <c r="F103" s="39"/>
      <c r="H103" s="55" t="s">
        <v>87</v>
      </c>
    </row>
    <row r="104" spans="3:14" x14ac:dyDescent="0.25">
      <c r="E104" s="42"/>
      <c r="F104" s="42"/>
      <c r="G104" s="42"/>
      <c r="H104" s="42"/>
      <c r="I104" s="42"/>
      <c r="K104" s="56" t="s">
        <v>61</v>
      </c>
      <c r="L104" s="56">
        <f>L95</f>
        <v>142</v>
      </c>
      <c r="M104" s="72">
        <f>M95*NORMDIST(M101,0,1,TRUE)-M96*EXP(-M97*M99)*NORMDIST(M102,0,1,TRUE)</f>
        <v>7.939315457081662</v>
      </c>
      <c r="N104" s="72">
        <f>N96*EXP(-N97*N99)*NORMDIST(-N102,0,1,TRUE)-N95*NORMDIST(-N101,0,1,TRUE)</f>
        <v>12.083300580392262</v>
      </c>
    </row>
    <row r="105" spans="3:14" x14ac:dyDescent="0.25">
      <c r="C105" s="42"/>
      <c r="D105" s="33" t="s">
        <v>61</v>
      </c>
      <c r="E105" s="33" t="s">
        <v>67</v>
      </c>
      <c r="F105" s="33" t="s">
        <v>29</v>
      </c>
      <c r="G105" s="33" t="s">
        <v>68</v>
      </c>
      <c r="H105" s="42"/>
      <c r="I105" s="42"/>
      <c r="K105" s="57" t="s">
        <v>67</v>
      </c>
      <c r="L105" s="57">
        <v>1</v>
      </c>
      <c r="M105" s="58">
        <f>NORMDIST(M101,0,1,TRUE)</f>
        <v>0.50756167144903941</v>
      </c>
      <c r="N105" s="58">
        <f>NORMDIST(N101,0,1,TRUE)-1</f>
        <v>-0.58201651220474004</v>
      </c>
    </row>
    <row r="106" spans="3:14" x14ac:dyDescent="0.25">
      <c r="C106" s="44" t="s">
        <v>86</v>
      </c>
      <c r="D106" s="45">
        <f>D103*L104+E103*M104</f>
        <v>76961.330266418328</v>
      </c>
      <c r="E106" s="46">
        <f>D103*L105+E103*M105</f>
        <v>0</v>
      </c>
      <c r="F106" s="46">
        <f>D103*L106+E103*M106</f>
        <v>-22.471583952857685</v>
      </c>
      <c r="G106" s="47">
        <f>D103*L107+E103*M107</f>
        <v>-33983.776411906678</v>
      </c>
      <c r="H106" s="42"/>
      <c r="I106" s="42"/>
      <c r="K106" s="59" t="s">
        <v>29</v>
      </c>
      <c r="L106" s="59">
        <v>0</v>
      </c>
      <c r="M106" s="60">
        <f>NORMDIST(M101,0,1,FALSE)/(M95*M98*SQRT(M99))</f>
        <v>1.8726319960714739E-2</v>
      </c>
      <c r="N106" s="60">
        <f>NORMDIST(N101,0,1,FALSE)/(N95*N98*SQRT(N99))</f>
        <v>1.8332470011824094E-2</v>
      </c>
    </row>
    <row r="107" spans="3:14" x14ac:dyDescent="0.25">
      <c r="K107" s="59" t="s">
        <v>88</v>
      </c>
      <c r="L107" s="59">
        <v>0</v>
      </c>
      <c r="M107" s="61">
        <f>M95*SQRT(M99)*NORMDIST(M101,0,1,FALSE)</f>
        <v>28.3198136765889</v>
      </c>
      <c r="N107" s="61">
        <f>N95*SQRT(N99)*NORMDIST(N101,0,1,FALSE)</f>
        <v>27.724194398881579</v>
      </c>
    </row>
    <row r="108" spans="3:14" x14ac:dyDescent="0.25">
      <c r="C108" s="51" t="s">
        <v>89</v>
      </c>
      <c r="D108" s="52"/>
      <c r="E108" s="52"/>
      <c r="F108" s="62" t="s">
        <v>90</v>
      </c>
      <c r="G108" s="52"/>
      <c r="H108" s="52"/>
      <c r="I108" s="53"/>
    </row>
    <row r="110" spans="3:14" x14ac:dyDescent="0.25">
      <c r="C110" s="32" t="s">
        <v>72</v>
      </c>
      <c r="D110" s="33" t="s">
        <v>57</v>
      </c>
      <c r="E110" s="34" t="s">
        <v>73</v>
      </c>
      <c r="F110" s="34" t="s">
        <v>76</v>
      </c>
      <c r="H110" s="55" t="s">
        <v>91</v>
      </c>
    </row>
    <row r="111" spans="3:14" x14ac:dyDescent="0.25">
      <c r="C111" s="37" t="s">
        <v>92</v>
      </c>
      <c r="D111" s="63">
        <f>D95-(E98+(-F98/N106)*N105)</f>
        <v>1322.4984874111283</v>
      </c>
      <c r="E111" s="64">
        <f>E95</f>
        <v>-1200</v>
      </c>
      <c r="F111" s="64">
        <f>-F98/N106</f>
        <v>1225.7804833917057</v>
      </c>
      <c r="H111" s="55" t="s">
        <v>93</v>
      </c>
    </row>
    <row r="113" spans="1:13" x14ac:dyDescent="0.25">
      <c r="C113" s="42"/>
      <c r="D113" s="33" t="s">
        <v>61</v>
      </c>
      <c r="E113" s="33" t="s">
        <v>67</v>
      </c>
      <c r="F113" s="33" t="s">
        <v>29</v>
      </c>
      <c r="G113" s="33" t="s">
        <v>68</v>
      </c>
    </row>
    <row r="114" spans="1:13" x14ac:dyDescent="0.25">
      <c r="C114" s="44" t="s">
        <v>92</v>
      </c>
      <c r="D114" s="45">
        <f>D111*L104+E111*M104+F111*N104</f>
        <v>193079.08069028275</v>
      </c>
      <c r="E114" s="46">
        <f>D111*L105+E111*M105+F111*N105</f>
        <v>0</v>
      </c>
      <c r="F114" s="46">
        <f>D111*L106+E111*M106+F111*N106</f>
        <v>0</v>
      </c>
      <c r="G114" s="45">
        <f>D111*L107+E111*M107+F111*N107</f>
        <v>0</v>
      </c>
    </row>
    <row r="115" spans="1:13" ht="15.75" thickBot="1" x14ac:dyDescent="0.3"/>
    <row r="116" spans="1:13" ht="15.75" thickBot="1" x14ac:dyDescent="0.3">
      <c r="A116" s="23" t="s">
        <v>103</v>
      </c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8" spans="1:13" x14ac:dyDescent="0.25">
      <c r="A118" s="8" t="s">
        <v>110</v>
      </c>
      <c r="B118" s="8"/>
      <c r="C118" s="15"/>
      <c r="D118" s="15"/>
      <c r="E118" s="15"/>
    </row>
    <row r="119" spans="1:13" x14ac:dyDescent="0.25">
      <c r="C119" t="s">
        <v>104</v>
      </c>
      <c r="D119" s="73">
        <v>4614</v>
      </c>
    </row>
    <row r="120" spans="1:13" x14ac:dyDescent="0.25">
      <c r="C120" t="s">
        <v>105</v>
      </c>
      <c r="D120" s="25">
        <v>1.1999999999999999E-3</v>
      </c>
    </row>
    <row r="121" spans="1:13" x14ac:dyDescent="0.25">
      <c r="C121" t="s">
        <v>106</v>
      </c>
      <c r="D121" s="25">
        <v>3.2000000000000002E-3</v>
      </c>
    </row>
    <row r="122" spans="1:13" ht="15.75" thickBot="1" x14ac:dyDescent="0.3"/>
    <row r="123" spans="1:13" ht="15.75" thickBot="1" x14ac:dyDescent="0.3">
      <c r="C123" t="s">
        <v>107</v>
      </c>
      <c r="D123" s="11">
        <f>D119*EXP((D120-D121)/12)</f>
        <v>4613.2310640797732</v>
      </c>
      <c r="E123" t="s">
        <v>108</v>
      </c>
      <c r="J123">
        <f>D119*EXP((D120-D121)*(1/12))</f>
        <v>4613.2310640797732</v>
      </c>
    </row>
    <row r="124" spans="1:13" ht="15.75" thickBot="1" x14ac:dyDescent="0.3">
      <c r="H124" s="11">
        <f>D123</f>
        <v>4613.2310640797732</v>
      </c>
    </row>
    <row r="125" spans="1:13" x14ac:dyDescent="0.25">
      <c r="C125" t="s">
        <v>109</v>
      </c>
    </row>
    <row r="127" spans="1:13" x14ac:dyDescent="0.25">
      <c r="A127" s="8" t="s">
        <v>111</v>
      </c>
      <c r="B127" s="8"/>
      <c r="C127" s="15"/>
      <c r="D127" s="15"/>
      <c r="E127" s="15"/>
    </row>
    <row r="129" spans="2:5" x14ac:dyDescent="0.25">
      <c r="B129" t="s">
        <v>112</v>
      </c>
      <c r="C129" s="73">
        <v>12000000</v>
      </c>
    </row>
    <row r="130" spans="2:5" x14ac:dyDescent="0.25">
      <c r="B130" t="s">
        <v>113</v>
      </c>
      <c r="C130">
        <v>5</v>
      </c>
    </row>
    <row r="131" spans="2:5" x14ac:dyDescent="0.25">
      <c r="B131" t="s">
        <v>114</v>
      </c>
      <c r="C131" s="6">
        <v>0.06</v>
      </c>
      <c r="E131" t="s">
        <v>115</v>
      </c>
    </row>
    <row r="133" spans="2:5" x14ac:dyDescent="0.25">
      <c r="B133" t="s">
        <v>116</v>
      </c>
      <c r="C133" s="73">
        <f>(C129*C131)/(1-(1+C131)^(-C130))</f>
        <v>2848756.8051742725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8</xdr:col>
                <xdr:colOff>704850</xdr:colOff>
                <xdr:row>7</xdr:row>
                <xdr:rowOff>28575</xdr:rowOff>
              </from>
              <to>
                <xdr:col>13</xdr:col>
                <xdr:colOff>200025</xdr:colOff>
                <xdr:row>19</xdr:row>
                <xdr:rowOff>28575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>
              <from>
                <xdr:col>1</xdr:col>
                <xdr:colOff>428625</xdr:colOff>
                <xdr:row>17</xdr:row>
                <xdr:rowOff>0</xdr:rowOff>
              </from>
              <to>
                <xdr:col>4</xdr:col>
                <xdr:colOff>485775</xdr:colOff>
                <xdr:row>18</xdr:row>
                <xdr:rowOff>123825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r:id="rId9">
            <anchor moveWithCells="1">
              <from>
                <xdr:col>4</xdr:col>
                <xdr:colOff>0</xdr:colOff>
                <xdr:row>28</xdr:row>
                <xdr:rowOff>0</xdr:rowOff>
              </from>
              <to>
                <xdr:col>5</xdr:col>
                <xdr:colOff>438150</xdr:colOff>
                <xdr:row>29</xdr:row>
                <xdr:rowOff>38100</xdr:rowOff>
              </to>
            </anchor>
          </objectPr>
        </oleObject>
      </mc:Choice>
      <mc:Fallback>
        <oleObject progId="Equation.DSMT4" shapeId="102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B20" sqref="B20"/>
    </sheetView>
  </sheetViews>
  <sheetFormatPr baseColWidth="10" defaultRowHeight="15" x14ac:dyDescent="0.25"/>
  <cols>
    <col min="4" max="6" width="5.42578125" customWidth="1"/>
    <col min="7" max="8" width="6.140625" customWidth="1"/>
    <col min="9" max="11" width="4.7109375" customWidth="1"/>
    <col min="12" max="13" width="5.5703125" customWidth="1"/>
  </cols>
  <sheetData>
    <row r="1" spans="1:13" ht="15.75" thickBot="1" x14ac:dyDescent="0.3"/>
    <row r="2" spans="1:13" ht="15.75" thickBot="1" x14ac:dyDescent="0.3">
      <c r="B2" s="78">
        <v>42354</v>
      </c>
      <c r="D2" s="74" t="s">
        <v>127</v>
      </c>
      <c r="E2" s="75"/>
      <c r="F2" s="76"/>
      <c r="G2" s="74" t="s">
        <v>128</v>
      </c>
      <c r="H2" s="76"/>
      <c r="I2" s="74" t="s">
        <v>129</v>
      </c>
      <c r="J2" s="75"/>
      <c r="K2" s="76"/>
      <c r="L2" s="74" t="s">
        <v>130</v>
      </c>
      <c r="M2" s="76"/>
    </row>
    <row r="3" spans="1:13" x14ac:dyDescent="0.25">
      <c r="B3" t="s">
        <v>131</v>
      </c>
      <c r="D3" s="77" t="s">
        <v>117</v>
      </c>
      <c r="E3" s="77" t="s">
        <v>118</v>
      </c>
      <c r="F3" s="77" t="s">
        <v>119</v>
      </c>
      <c r="G3" s="77" t="s">
        <v>120</v>
      </c>
      <c r="H3" s="77" t="s">
        <v>121</v>
      </c>
      <c r="I3" s="77" t="s">
        <v>122</v>
      </c>
      <c r="J3" s="77" t="s">
        <v>123</v>
      </c>
      <c r="K3" s="77" t="s">
        <v>124</v>
      </c>
      <c r="L3" s="77" t="s">
        <v>125</v>
      </c>
      <c r="M3" s="77" t="s">
        <v>126</v>
      </c>
    </row>
    <row r="4" spans="1:13" x14ac:dyDescent="0.25">
      <c r="A4" s="42" t="s">
        <v>132</v>
      </c>
      <c r="B4" s="16">
        <f>SUM(D4:M4)</f>
        <v>18</v>
      </c>
      <c r="D4" s="42">
        <v>2</v>
      </c>
      <c r="E4" s="42">
        <v>2</v>
      </c>
      <c r="F4" s="42">
        <v>2</v>
      </c>
      <c r="G4" s="42">
        <v>2</v>
      </c>
      <c r="H4" s="42">
        <v>2</v>
      </c>
      <c r="I4" s="42">
        <v>2</v>
      </c>
      <c r="J4" s="42">
        <v>2</v>
      </c>
      <c r="K4" s="42">
        <v>0</v>
      </c>
      <c r="L4" s="42">
        <v>2</v>
      </c>
      <c r="M4" s="42">
        <v>2</v>
      </c>
    </row>
    <row r="5" spans="1:13" x14ac:dyDescent="0.25">
      <c r="A5" s="42" t="s">
        <v>133</v>
      </c>
      <c r="B5" s="16">
        <f>SUM(D5:M5)</f>
        <v>16</v>
      </c>
      <c r="D5" s="42">
        <v>2</v>
      </c>
      <c r="E5" s="42">
        <v>2</v>
      </c>
      <c r="F5" s="42">
        <v>2</v>
      </c>
      <c r="G5" s="42">
        <v>2</v>
      </c>
      <c r="H5" s="42">
        <v>2</v>
      </c>
      <c r="I5" s="42">
        <v>2</v>
      </c>
      <c r="J5" s="42">
        <v>2</v>
      </c>
      <c r="K5" s="42">
        <v>1</v>
      </c>
      <c r="L5" s="42">
        <v>1</v>
      </c>
      <c r="M5" s="42">
        <v>0</v>
      </c>
    </row>
    <row r="6" spans="1:13" x14ac:dyDescent="0.25">
      <c r="A6" s="42" t="s">
        <v>134</v>
      </c>
      <c r="B6" s="16">
        <f>SUM(D6:M6)</f>
        <v>12</v>
      </c>
      <c r="D6" s="42">
        <v>1</v>
      </c>
      <c r="E6" s="42">
        <v>2</v>
      </c>
      <c r="F6" s="42">
        <v>2</v>
      </c>
      <c r="G6" s="42">
        <v>2</v>
      </c>
      <c r="H6" s="42">
        <v>1</v>
      </c>
      <c r="I6" s="42">
        <v>0.5</v>
      </c>
      <c r="J6" s="42">
        <v>0.5</v>
      </c>
      <c r="K6" s="42">
        <v>0</v>
      </c>
      <c r="L6" s="42">
        <v>1</v>
      </c>
      <c r="M6" s="42">
        <v>2</v>
      </c>
    </row>
    <row r="7" spans="1:13" x14ac:dyDescent="0.25">
      <c r="A7" s="42" t="s">
        <v>135</v>
      </c>
      <c r="B7" s="16">
        <f>SUM(D7:M7)</f>
        <v>11</v>
      </c>
      <c r="D7" s="42">
        <v>1</v>
      </c>
      <c r="E7" s="42">
        <v>1</v>
      </c>
      <c r="F7" s="42">
        <v>0</v>
      </c>
      <c r="G7" s="42">
        <v>2</v>
      </c>
      <c r="H7" s="42">
        <v>2</v>
      </c>
      <c r="I7" s="42">
        <v>2</v>
      </c>
      <c r="J7" s="42">
        <v>2</v>
      </c>
      <c r="K7" s="42">
        <v>1</v>
      </c>
      <c r="L7" s="42">
        <v>0</v>
      </c>
      <c r="M7" s="42">
        <v>0</v>
      </c>
    </row>
    <row r="8" spans="1:13" x14ac:dyDescent="0.25">
      <c r="A8" s="42" t="s">
        <v>136</v>
      </c>
      <c r="B8" s="16">
        <f>SUM(D8:M8)</f>
        <v>9</v>
      </c>
      <c r="D8" s="42">
        <v>1</v>
      </c>
      <c r="E8" s="42">
        <v>2</v>
      </c>
      <c r="F8" s="42">
        <v>2</v>
      </c>
      <c r="G8" s="42">
        <v>0</v>
      </c>
      <c r="H8" s="42">
        <v>2</v>
      </c>
      <c r="I8" s="42">
        <v>0</v>
      </c>
      <c r="J8" s="42">
        <v>0</v>
      </c>
      <c r="K8" s="42">
        <v>0</v>
      </c>
      <c r="L8" s="42">
        <v>2</v>
      </c>
      <c r="M8" s="42">
        <v>0</v>
      </c>
    </row>
    <row r="9" spans="1:13" x14ac:dyDescent="0.25">
      <c r="A9" s="42" t="s">
        <v>137</v>
      </c>
      <c r="B9" s="16">
        <f>SUM(D9:M9)</f>
        <v>9</v>
      </c>
      <c r="D9" s="42">
        <v>1</v>
      </c>
      <c r="E9" s="42">
        <v>0.5</v>
      </c>
      <c r="F9" s="42">
        <v>0.5</v>
      </c>
      <c r="G9" s="42">
        <v>2</v>
      </c>
      <c r="H9" s="42">
        <v>2</v>
      </c>
      <c r="I9" s="42">
        <v>1</v>
      </c>
      <c r="J9" s="42">
        <v>0</v>
      </c>
      <c r="K9" s="42">
        <v>0</v>
      </c>
      <c r="L9" s="42">
        <v>2</v>
      </c>
      <c r="M9" s="42">
        <v>0</v>
      </c>
    </row>
    <row r="10" spans="1:13" x14ac:dyDescent="0.25">
      <c r="A10" s="42" t="s">
        <v>138</v>
      </c>
      <c r="B10" s="16">
        <f>SUM(D10:M10)</f>
        <v>9</v>
      </c>
      <c r="D10" s="42">
        <v>2</v>
      </c>
      <c r="E10" s="42">
        <v>1</v>
      </c>
      <c r="F10" s="42">
        <v>1</v>
      </c>
      <c r="G10" s="42">
        <v>2</v>
      </c>
      <c r="H10" s="42">
        <v>1</v>
      </c>
      <c r="I10" s="42">
        <v>0</v>
      </c>
      <c r="J10" s="42">
        <v>0</v>
      </c>
      <c r="K10" s="42">
        <v>0</v>
      </c>
      <c r="L10" s="42">
        <v>2</v>
      </c>
      <c r="M10" s="42">
        <v>0</v>
      </c>
    </row>
    <row r="11" spans="1:13" x14ac:dyDescent="0.25">
      <c r="A11" s="42" t="s">
        <v>139</v>
      </c>
      <c r="B11" s="16">
        <f>SUM(D11:M11)</f>
        <v>4</v>
      </c>
      <c r="C11" s="42"/>
      <c r="D11" s="42">
        <v>0</v>
      </c>
      <c r="E11" s="42">
        <v>0</v>
      </c>
      <c r="F11" s="42">
        <v>0</v>
      </c>
      <c r="G11" s="42">
        <v>2</v>
      </c>
      <c r="H11" s="42">
        <v>1</v>
      </c>
      <c r="I11" s="42">
        <v>0</v>
      </c>
      <c r="J11" s="42">
        <v>0</v>
      </c>
      <c r="K11" s="42">
        <v>0</v>
      </c>
      <c r="L11" s="42">
        <v>1</v>
      </c>
      <c r="M11" s="42">
        <v>0</v>
      </c>
    </row>
    <row r="12" spans="1:13" x14ac:dyDescent="0.25">
      <c r="A12" s="42" t="s">
        <v>140</v>
      </c>
      <c r="B12" s="16">
        <f>SUM(D12:M12)</f>
        <v>3</v>
      </c>
      <c r="D12" s="42">
        <v>1</v>
      </c>
      <c r="E12" s="42">
        <v>0</v>
      </c>
      <c r="F12" s="42">
        <v>0</v>
      </c>
      <c r="G12" s="42">
        <v>1</v>
      </c>
      <c r="H12" s="42">
        <v>1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</row>
    <row r="14" spans="1:13" x14ac:dyDescent="0.25">
      <c r="A14" s="42" t="s">
        <v>141</v>
      </c>
      <c r="B14" s="79">
        <f>AVERAGE(B4:B12)</f>
        <v>10.111111111111111</v>
      </c>
    </row>
    <row r="15" spans="1:13" x14ac:dyDescent="0.25">
      <c r="A15" s="42" t="s">
        <v>142</v>
      </c>
      <c r="B15" s="70">
        <f>STDEV(B4:B12)</f>
        <v>4.9103066208854118</v>
      </c>
    </row>
  </sheetData>
  <sortState ref="B4:M12">
    <sortCondition descending="1" ref="B4:B12"/>
  </sortState>
  <mergeCells count="4">
    <mergeCell ref="D2:F2"/>
    <mergeCell ref="G2:H2"/>
    <mergeCell ref="I2:K2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Corrigé</vt:lpstr>
      <vt:lpstr>Notes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AFH</dc:creator>
  <cp:lastModifiedBy>AFH</cp:lastModifiedBy>
  <dcterms:created xsi:type="dcterms:W3CDTF">2015-12-16T14:39:43Z</dcterms:created>
  <dcterms:modified xsi:type="dcterms:W3CDTF">2015-12-16T16:30:26Z</dcterms:modified>
</cp:coreProperties>
</file>