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Solution" sheetId="1" r:id="rId1"/>
    <sheet name="Notes" sheetId="2" r:id="rId2"/>
  </sheets>
  <calcPr calcId="145621"/>
</workbook>
</file>

<file path=xl/calcChain.xml><?xml version="1.0" encoding="utf-8"?>
<calcChain xmlns="http://schemas.openxmlformats.org/spreadsheetml/2006/main">
  <c r="K26" i="2" l="1"/>
  <c r="H26" i="2"/>
  <c r="E26" i="2"/>
  <c r="M21" i="2"/>
  <c r="L21" i="2"/>
  <c r="K21" i="2"/>
  <c r="J21" i="2"/>
  <c r="I21" i="2"/>
  <c r="H21" i="2"/>
  <c r="G21" i="2"/>
  <c r="F21" i="2"/>
  <c r="E21" i="2"/>
  <c r="D21" i="2"/>
  <c r="M26" i="2" s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24" i="2" l="1"/>
  <c r="B26" i="2"/>
  <c r="B25" i="2"/>
  <c r="B20" i="2"/>
  <c r="B21" i="2"/>
  <c r="B23" i="2"/>
  <c r="B22" i="2"/>
  <c r="F108" i="1" l="1"/>
  <c r="C108" i="1"/>
  <c r="D162" i="1"/>
  <c r="E160" i="1"/>
  <c r="E155" i="1"/>
  <c r="E156" i="1" s="1"/>
  <c r="E154" i="1"/>
  <c r="D163" i="1" s="1"/>
  <c r="E149" i="1"/>
  <c r="D149" i="1"/>
  <c r="D139" i="1"/>
  <c r="I104" i="1"/>
  <c r="H104" i="1" s="1"/>
  <c r="G104" i="1" s="1"/>
  <c r="F104" i="1" s="1"/>
  <c r="E104" i="1" s="1"/>
  <c r="D104" i="1" s="1"/>
  <c r="C104" i="1" s="1"/>
  <c r="C103" i="1"/>
  <c r="C106" i="1" l="1"/>
  <c r="D103" i="1"/>
  <c r="F9" i="1"/>
  <c r="F8" i="1"/>
  <c r="F13" i="1"/>
  <c r="F24" i="1"/>
  <c r="F22" i="1"/>
  <c r="F21" i="1"/>
  <c r="C26" i="1"/>
  <c r="E37" i="1"/>
  <c r="E34" i="1"/>
  <c r="E35" i="1"/>
  <c r="E33" i="1"/>
  <c r="E32" i="1"/>
  <c r="E103" i="1" l="1"/>
  <c r="D106" i="1"/>
  <c r="F26" i="1"/>
  <c r="F15" i="1"/>
  <c r="F16" i="1" s="1"/>
  <c r="I129" i="1"/>
  <c r="I126" i="1"/>
  <c r="E120" i="1"/>
  <c r="D123" i="1" s="1"/>
  <c r="D124" i="1" s="1"/>
  <c r="D125" i="1" s="1"/>
  <c r="D126" i="1" s="1"/>
  <c r="E106" i="1" l="1"/>
  <c r="F103" i="1"/>
  <c r="D127" i="1"/>
  <c r="D129" i="1" s="1"/>
  <c r="F106" i="1" l="1"/>
  <c r="G103" i="1"/>
  <c r="G106" i="1" l="1"/>
  <c r="H103" i="1"/>
  <c r="I103" i="1" l="1"/>
  <c r="I106" i="1" s="1"/>
  <c r="H106" i="1"/>
</calcChain>
</file>

<file path=xl/sharedStrings.xml><?xml version="1.0" encoding="utf-8"?>
<sst xmlns="http://schemas.openxmlformats.org/spreadsheetml/2006/main" count="267" uniqueCount="178">
  <si>
    <t>Qté</t>
  </si>
  <si>
    <t>Prix</t>
  </si>
  <si>
    <t>ACHAT</t>
  </si>
  <si>
    <t>VENTE</t>
  </si>
  <si>
    <t>Q1</t>
  </si>
  <si>
    <t>X</t>
  </si>
  <si>
    <t>Q2</t>
  </si>
  <si>
    <t>EUR-GBP</t>
  </si>
  <si>
    <t>$</t>
  </si>
  <si>
    <t>€</t>
  </si>
  <si>
    <t>Interpolation linéaire</t>
  </si>
  <si>
    <t>Q6</t>
  </si>
  <si>
    <t>Q7</t>
  </si>
  <si>
    <t>Donner la meilleure limite [quantité - prix] côté Achat (BID) après le fixing résumé par :</t>
  </si>
  <si>
    <t>∑↓Achat</t>
  </si>
  <si>
    <t>∑↑Vente</t>
  </si>
  <si>
    <t>|écart|</t>
  </si>
  <si>
    <t>Fixing</t>
  </si>
  <si>
    <t>Qté échangée</t>
  </si>
  <si>
    <t>Pr. Alain FRANCOIS-HEUDE</t>
  </si>
  <si>
    <t>IAE M2 SIAD Finance  2020-2021</t>
  </si>
  <si>
    <t>Vente de 4 800 titres à 94,30€</t>
  </si>
  <si>
    <t>Achat de 3 800 titres à 94,50€</t>
  </si>
  <si>
    <t>Carnet d'ordres le 05/10/20 à 11:18:58</t>
  </si>
  <si>
    <t xml:space="preserve"> 05/10/20 à 11:19:48</t>
  </si>
  <si>
    <t>Carnet d'ordres le 05/10/20 à 11:19:49</t>
  </si>
  <si>
    <t xml:space="preserve"> 05/10/20 à 11:19:57</t>
  </si>
  <si>
    <t>Vente de 10 000 titres à tout prix (ou au prix de marché)</t>
  </si>
  <si>
    <t>Achat de 6 000 titres à 94,30€</t>
  </si>
  <si>
    <t>Exécuté</t>
  </si>
  <si>
    <t>Mise en carnet</t>
  </si>
  <si>
    <t xml:space="preserve"> 05/10/20 à 11:20:14</t>
  </si>
  <si>
    <t>Carnet d'ordres le 05/10/20 à 11:20:15</t>
  </si>
  <si>
    <t>Achat de 6 000 titres à 94,50€</t>
  </si>
  <si>
    <r>
      <t>Marché</t>
    </r>
    <r>
      <rPr>
        <vertAlign val="subscript"/>
        <sz val="9"/>
        <rFont val="Arial"/>
        <family val="2"/>
      </rPr>
      <t>A</t>
    </r>
  </si>
  <si>
    <r>
      <t>Marché</t>
    </r>
    <r>
      <rPr>
        <vertAlign val="subscript"/>
        <sz val="9"/>
        <rFont val="Arial"/>
        <family val="2"/>
      </rPr>
      <t>V</t>
    </r>
  </si>
  <si>
    <t>Qté Achat</t>
  </si>
  <si>
    <t>Qté Vente</t>
  </si>
  <si>
    <t>Il reste 250 titres du côté Achat à la limite de 93,95€ qui n'ont pas trouvé preneur (sur les 410 offerts) !</t>
  </si>
  <si>
    <t>Nominal K = 1, maturité n = 5 ans, taux de coupon i = 3% et prix Vo = 98,55%</t>
  </si>
  <si>
    <t>comme Vo &lt; à 100% alors r &gt; i</t>
  </si>
  <si>
    <t>Test avec r = 4%</t>
  </si>
  <si>
    <t>si r=4% alors Vo =</t>
  </si>
  <si>
    <t>AC = K.i / (1 - (1+i)^-n)</t>
  </si>
  <si>
    <t>dV/V = -D*(d(1+r)/(1+r))+(Cvx/2)*(d(1+r)/(1+r))^2</t>
  </si>
  <si>
    <t>dVo/Vo</t>
  </si>
  <si>
    <t>Vo(RP) = i / r</t>
  </si>
  <si>
    <t>Du(RP) = (1+r) / r</t>
  </si>
  <si>
    <t>Cvx(RP) = 2 .[(1+r)/r]²</t>
  </si>
  <si>
    <t>Vo(2,70%)</t>
  </si>
  <si>
    <t>Rt</t>
  </si>
  <si>
    <t>ft</t>
  </si>
  <si>
    <t>FRA =</t>
  </si>
  <si>
    <t>Donner le prix d'un FRA de 1 an dans 3 ans avec un nominal de 56 millions d'€ avec un taux garanti de 1,55%</t>
  </si>
  <si>
    <t>GBP-EUR</t>
  </si>
  <si>
    <t>EUR-CHF</t>
  </si>
  <si>
    <t>CHF-USD</t>
  </si>
  <si>
    <t>USD-CHF</t>
  </si>
  <si>
    <t>USD-AUD</t>
  </si>
  <si>
    <t>GBP-AUD</t>
  </si>
  <si>
    <t xml:space="preserve"> Donner le change spot en Mid GBP-AUD sachant</t>
  </si>
  <si>
    <t>AUD-USD</t>
  </si>
  <si>
    <t>AUD-USD 0,7156    EUR-GBP 0,9051   EUR-CHF  1,0777 et  USD-CHF  0,9195</t>
  </si>
  <si>
    <t xml:space="preserve"> </t>
  </si>
  <si>
    <t>Dev1-Dev2 Spot</t>
  </si>
  <si>
    <t xml:space="preserve">Déterminer le change spot des devises Dev1-Dev2 à partir des informations suivantes :        </t>
  </si>
  <si>
    <t>Dev1-Dev2 Fwd 6 mth</t>
  </si>
  <si>
    <t>Taux Dev1 6 mth</t>
  </si>
  <si>
    <t>Taux Dev2 6 mth</t>
  </si>
  <si>
    <t>Dev1-Dev2 Fwd 6 mois  5,40 - 5,60 ,  Taux Dev1 à 6m   2,50% - 2,70%   et Taux Dev2 à 6m  3,00% - 3,15%</t>
  </si>
  <si>
    <t>kg</t>
  </si>
  <si>
    <t>l</t>
  </si>
  <si>
    <t>EUR-USD</t>
  </si>
  <si>
    <t>once</t>
  </si>
  <si>
    <t>grammes</t>
  </si>
  <si>
    <t>baril</t>
  </si>
  <si>
    <t>litres</t>
  </si>
  <si>
    <t>t</t>
  </si>
  <si>
    <t>OR $/once</t>
  </si>
  <si>
    <t>WTI $/baril</t>
  </si>
  <si>
    <t>Alu $/tonne</t>
  </si>
  <si>
    <t>Donner la valeur en € de 1,5 millions de litres de pétrole qualité WTI, 12Kg d'or et 4000 tonnes d'aluminium</t>
  </si>
  <si>
    <t>Carrefour + Airbus + Orange + Renault</t>
  </si>
  <si>
    <t>Carrefour</t>
  </si>
  <si>
    <t>Airbus</t>
  </si>
  <si>
    <t>Orange</t>
  </si>
  <si>
    <t>Renault</t>
  </si>
  <si>
    <t>Quelle est la capitalisation cumulée des ces 4 sociétés du CAC 40 actuellement  (en Mds€)</t>
  </si>
  <si>
    <r>
      <t>Structure des taux au comptant (spot) : 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1,90%,   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2,00%,   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= 2,30%  et 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= 2,10%</t>
    </r>
  </si>
  <si>
    <t>Examen du 05-10-20</t>
  </si>
  <si>
    <t>8 900 - 14 500</t>
  </si>
  <si>
    <t>11 300 - 8 600</t>
  </si>
  <si>
    <t>6 500 - 14 500</t>
  </si>
  <si>
    <t>8 900 - 4 800</t>
  </si>
  <si>
    <t>94,30 - 94,40</t>
  </si>
  <si>
    <t>94,30 - 94,50</t>
  </si>
  <si>
    <t>94,20 - 94,30</t>
  </si>
  <si>
    <t>94,20 - 94,40</t>
  </si>
  <si>
    <t>94,10 - 94,30</t>
  </si>
  <si>
    <t>6 000 - 13 300</t>
  </si>
  <si>
    <t>250 - 93,95</t>
  </si>
  <si>
    <t>720 - 93,90</t>
  </si>
  <si>
    <t>1 400 - 93,90</t>
  </si>
  <si>
    <t>1 150 - 94,00</t>
  </si>
  <si>
    <t>410 - 93,95</t>
  </si>
  <si>
    <t>5,39 - 5,58</t>
  </si>
  <si>
    <t>5,45 - 5,65</t>
  </si>
  <si>
    <t>5,52 - 5,54</t>
  </si>
  <si>
    <t>5,36 - 5,40</t>
  </si>
  <si>
    <t>5,45 - 5,35</t>
  </si>
  <si>
    <t>Q3</t>
  </si>
  <si>
    <t>Q4</t>
  </si>
  <si>
    <t>Donner la meilleure limite en prix (Bid-Ask) le 05/10/20 à 11:20:15 [ 3 ordres ont été passés ]</t>
  </si>
  <si>
    <t>Q5</t>
  </si>
  <si>
    <t>Donner la meilleure limite en quantité (Bid-Ask) le 05/10/20 à 11:08:15 [ 2 ordres ont été passés ]</t>
  </si>
  <si>
    <t>05/10/20 à 11:14:19</t>
  </si>
  <si>
    <t>05/10/20 à 11:08:16</t>
  </si>
  <si>
    <r>
      <t>Donner le rendement actuariel d'un emprunt remboursé</t>
    </r>
    <r>
      <rPr>
        <b/>
        <i/>
        <sz val="11"/>
        <color theme="1"/>
        <rFont val="Calibri"/>
        <family val="2"/>
        <scheme val="minor"/>
      </rPr>
      <t xml:space="preserve"> par Annuités constantes</t>
    </r>
  </si>
  <si>
    <t>Q8</t>
  </si>
  <si>
    <t>Q9</t>
  </si>
  <si>
    <t>Q10</t>
  </si>
  <si>
    <t>Calculer la +/- value (en %) d'une rente perpétuelle avec un taux de rendement = 2,50%</t>
  </si>
  <si>
    <t xml:space="preserve">taux de coupon = 2,40%  variation du taux de marché = 0,20%       solution de la forme  +/- valuen en % </t>
  </si>
  <si>
    <t>puis faire la différence et diviser par le prix initial</t>
  </si>
  <si>
    <r>
      <rPr>
        <b/>
        <u/>
        <sz val="11"/>
        <color theme="1"/>
        <rFont val="Calibri"/>
        <family val="2"/>
        <scheme val="minor"/>
      </rPr>
      <t>Alternative</t>
    </r>
    <r>
      <rPr>
        <sz val="11"/>
        <color theme="1"/>
        <rFont val="Calibri"/>
        <family val="2"/>
        <scheme val="minor"/>
      </rPr>
      <t xml:space="preserve"> : calculer la rente perpétuelle avec le nouveau taux</t>
    </r>
  </si>
  <si>
    <t>Prix au 5/10/20</t>
  </si>
  <si>
    <t>Carnet d'ordres le 05/10/20 à 11:19:58</t>
  </si>
  <si>
    <t>Exécuté à la meilleure limite (94,40€)</t>
  </si>
  <si>
    <t>Carnet d'ordres le 05/10/20 à 11:14:18</t>
  </si>
  <si>
    <t>Carnet d'ordres le 05/10/20 à 11:08:15</t>
  </si>
  <si>
    <t xml:space="preserve"> Annuité Constante</t>
  </si>
  <si>
    <t>Taux rendement actuariel</t>
  </si>
  <si>
    <t>si r = i = 3% alors Vo =</t>
  </si>
  <si>
    <t>ETUDIANTS</t>
  </si>
  <si>
    <t>NOTE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</si>
  <si>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</si>
  <si>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</si>
  <si>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</si>
  <si>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</si>
  <si>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</si>
  <si>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</si>
  <si>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</si>
  <si>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</si>
  <si>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</si>
  <si>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Nombre</t>
  </si>
  <si>
    <t>Moyenne</t>
  </si>
  <si>
    <t>Ecart type</t>
  </si>
  <si>
    <t>Minimum</t>
  </si>
  <si>
    <t>Analyse de la performance par secteur</t>
  </si>
  <si>
    <t>Maximum</t>
  </si>
  <si>
    <t>Médiane</t>
  </si>
  <si>
    <t>bien maitrisé</t>
  </si>
  <si>
    <t>à conforter</t>
  </si>
  <si>
    <t>correct</t>
  </si>
  <si>
    <t>faible</t>
  </si>
  <si>
    <t>Nb note &lt; à 10</t>
  </si>
  <si>
    <t>AMAHJOUR Walid</t>
  </si>
  <si>
    <t>AMGHAR Mohamed</t>
  </si>
  <si>
    <t>BACAVE Hanna</t>
  </si>
  <si>
    <t>BOUAFFAD Yani</t>
  </si>
  <si>
    <t>DELAGE Cindy</t>
  </si>
  <si>
    <t>DIEVAL Mégane</t>
  </si>
  <si>
    <t>GAIZI Ibrahim</t>
  </si>
  <si>
    <t>ISKOUNEN Selena</t>
  </si>
  <si>
    <t>KHALIFI Oumayma</t>
  </si>
  <si>
    <t>LAKEHAL Ryma</t>
  </si>
  <si>
    <t>SAHBANE Abdesstar</t>
  </si>
  <si>
    <t>SANTINELLI Emma</t>
  </si>
  <si>
    <t>SAYD Yassine</t>
  </si>
  <si>
    <t>Actions (Q4, Q5, Q6)</t>
  </si>
  <si>
    <t>Oblig &amp; Taux (Q3, Q7,Q10)</t>
  </si>
  <si>
    <t>Change (Q2, Q9)</t>
  </si>
  <si>
    <t>Divers (Q1,Q8)</t>
  </si>
  <si>
    <t>Cours : Analyse Financière des Risques</t>
  </si>
  <si>
    <t>Prix au 28/09/20</t>
  </si>
  <si>
    <t>2 réponses acceptables</t>
  </si>
  <si>
    <t>Pour la question 1 : 2 réponses sont possibles</t>
  </si>
  <si>
    <t>L'objectif d'une moyenne de 14/20 n'est pas atteint !  (mais avéré en médiane)8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</si>
</sst>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"/>
    <numFmt numFmtId="166" formatCode="0.00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6" xfId="0" applyBorder="1"/>
    <xf numFmtId="0" fontId="2" fillId="2" borderId="6" xfId="0" applyFont="1" applyFill="1" applyBorder="1" applyAlignment="1">
      <alignment horizontal="center"/>
    </xf>
    <xf numFmtId="10" fontId="0" fillId="0" borderId="0" xfId="0" applyNumberFormat="1"/>
    <xf numFmtId="3" fontId="2" fillId="0" borderId="8" xfId="0" applyNumberFormat="1" applyFont="1" applyBorder="1" applyAlignment="1">
      <alignment horizontal="center"/>
    </xf>
    <xf numFmtId="10" fontId="0" fillId="0" borderId="0" xfId="1" applyNumberFormat="1" applyFont="1"/>
    <xf numFmtId="10" fontId="2" fillId="2" borderId="1" xfId="1" applyNumberFormat="1" applyFont="1" applyFill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6" xfId="0" applyNumberFormat="1" applyBorder="1"/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166" fontId="2" fillId="2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4" borderId="0" xfId="0" applyFont="1" applyFill="1"/>
    <xf numFmtId="2" fontId="0" fillId="2" borderId="5" xfId="0" applyNumberFormat="1" applyFill="1" applyBorder="1" applyAlignment="1">
      <alignment horizontal="center"/>
    </xf>
    <xf numFmtId="10" fontId="2" fillId="0" borderId="0" xfId="1" applyNumberFormat="1" applyFont="1"/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 vertical="center" wrapText="1"/>
    </xf>
    <xf numFmtId="0" fontId="2" fillId="3" borderId="0" xfId="0" applyFont="1" applyFill="1"/>
    <xf numFmtId="2" fontId="0" fillId="3" borderId="0" xfId="0" applyNumberFormat="1" applyFill="1"/>
    <xf numFmtId="10" fontId="2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quotePrefix="1" applyFont="1"/>
    <xf numFmtId="164" fontId="2" fillId="2" borderId="0" xfId="0" applyNumberFormat="1" applyFont="1" applyFill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/>
    <xf numFmtId="3" fontId="5" fillId="0" borderId="0" xfId="0" applyNumberFormat="1" applyFont="1"/>
    <xf numFmtId="3" fontId="6" fillId="2" borderId="1" xfId="0" applyNumberFormat="1" applyFont="1" applyFill="1" applyBorder="1"/>
    <xf numFmtId="10" fontId="2" fillId="0" borderId="8" xfId="1" applyNumberFormat="1" applyFont="1" applyBorder="1" applyAlignment="1">
      <alignment horizontal="center"/>
    </xf>
    <xf numFmtId="10" fontId="0" fillId="0" borderId="6" xfId="1" applyNumberFormat="1" applyFont="1" applyBorder="1"/>
    <xf numFmtId="4" fontId="2" fillId="0" borderId="8" xfId="0" applyNumberFormat="1" applyFont="1" applyBorder="1" applyAlignment="1">
      <alignment horizontal="center"/>
    </xf>
    <xf numFmtId="4" fontId="0" fillId="0" borderId="6" xfId="0" applyNumberFormat="1" applyBorder="1"/>
    <xf numFmtId="3" fontId="2" fillId="3" borderId="0" xfId="0" applyNumberFormat="1" applyFont="1" applyFill="1" applyAlignment="1">
      <alignment horizontal="center"/>
    </xf>
    <xf numFmtId="21" fontId="2" fillId="3" borderId="0" xfId="0" applyNumberFormat="1" applyFont="1" applyFill="1"/>
    <xf numFmtId="2" fontId="2" fillId="3" borderId="5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2" xfId="0" applyFill="1" applyBorder="1"/>
    <xf numFmtId="3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0" xfId="0" applyFont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2" fillId="2" borderId="1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10" fontId="2" fillId="2" borderId="1" xfId="1" applyNumberFormat="1" applyFont="1" applyFill="1" applyBorder="1"/>
    <xf numFmtId="10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4" fontId="2" fillId="2" borderId="15" xfId="0" applyNumberFormat="1" applyFont="1" applyFill="1" applyBorder="1" applyAlignment="1">
      <alignment horizontal="center"/>
    </xf>
    <xf numFmtId="0" fontId="2" fillId="0" borderId="4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7" fillId="0" borderId="10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18" fillId="0" borderId="16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3" fontId="2" fillId="2" borderId="1" xfId="0" applyNumberFormat="1" applyFont="1" applyFill="1" applyBorder="1"/>
    <xf numFmtId="0" fontId="19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"/>
  <sheetViews>
    <sheetView tabSelected="1" workbookViewId="0">
      <selection activeCell="B4" sqref="B4"/>
    </sheetView>
  </sheetViews>
  <sheetFormatPr baseColWidth="10" defaultRowHeight="14.4" x14ac:dyDescent="0.3"/>
  <cols>
    <col min="1" max="1" width="5.5546875" customWidth="1"/>
    <col min="2" max="2" width="10.21875" customWidth="1"/>
    <col min="3" max="3" width="10.77734375" customWidth="1"/>
    <col min="4" max="4" width="9" customWidth="1"/>
    <col min="5" max="5" width="8.88671875" customWidth="1"/>
    <col min="6" max="6" width="9.5546875" customWidth="1"/>
    <col min="7" max="7" width="5.44140625" customWidth="1"/>
    <col min="8" max="8" width="6" customWidth="1"/>
    <col min="9" max="9" width="12.33203125" customWidth="1"/>
    <col min="10" max="10" width="7.33203125" customWidth="1"/>
    <col min="11" max="12" width="2.6640625" customWidth="1"/>
    <col min="13" max="14" width="4.33203125" customWidth="1"/>
    <col min="15" max="15" width="15.44140625" customWidth="1"/>
    <col min="16" max="17" width="4.33203125" customWidth="1"/>
    <col min="18" max="18" width="14.44140625" customWidth="1"/>
    <col min="19" max="20" width="4.33203125" customWidth="1"/>
    <col min="21" max="21" width="14.5546875" customWidth="1"/>
    <col min="22" max="23" width="4.33203125" customWidth="1"/>
    <col min="24" max="24" width="14.33203125" customWidth="1"/>
    <col min="25" max="26" width="4.33203125" customWidth="1"/>
    <col min="27" max="27" width="14.109375" customWidth="1"/>
    <col min="29" max="35" width="7.33203125" customWidth="1"/>
  </cols>
  <sheetData>
    <row r="1" spans="1:27" x14ac:dyDescent="0.3">
      <c r="A1" s="17" t="s">
        <v>20</v>
      </c>
      <c r="D1" t="s">
        <v>89</v>
      </c>
    </row>
    <row r="2" spans="1:27" x14ac:dyDescent="0.3">
      <c r="A2" s="17" t="s">
        <v>19</v>
      </c>
    </row>
    <row r="3" spans="1:27" x14ac:dyDescent="0.3">
      <c r="A3" s="17" t="s">
        <v>173</v>
      </c>
    </row>
    <row r="6" spans="1:27" x14ac:dyDescent="0.3">
      <c r="A6" s="17" t="s">
        <v>4</v>
      </c>
      <c r="B6" s="52" t="s">
        <v>81</v>
      </c>
      <c r="C6" s="53"/>
      <c r="D6" s="54"/>
      <c r="E6" s="54"/>
      <c r="F6" s="54"/>
      <c r="G6" s="53"/>
      <c r="H6" s="53"/>
      <c r="I6" s="53"/>
      <c r="J6" s="53"/>
      <c r="K6" s="53"/>
      <c r="L6" s="53"/>
      <c r="M6" s="53"/>
      <c r="N6" s="53"/>
    </row>
    <row r="7" spans="1:27" x14ac:dyDescent="0.3">
      <c r="C7" t="s">
        <v>125</v>
      </c>
      <c r="I7" t="s">
        <v>174</v>
      </c>
    </row>
    <row r="8" spans="1:27" ht="15" thickBot="1" x14ac:dyDescent="0.35">
      <c r="B8" t="s">
        <v>78</v>
      </c>
      <c r="C8" s="97">
        <v>1890</v>
      </c>
      <c r="D8" s="3">
        <v>12</v>
      </c>
      <c r="E8" s="3" t="s">
        <v>70</v>
      </c>
      <c r="F8" s="69">
        <f>(C8/C11)*D8*1000</f>
        <v>729260.45016077161</v>
      </c>
      <c r="I8" s="97">
        <v>1846</v>
      </c>
    </row>
    <row r="9" spans="1:27" ht="15" thickBot="1" x14ac:dyDescent="0.35">
      <c r="B9" t="s">
        <v>79</v>
      </c>
      <c r="C9" s="17">
        <v>38</v>
      </c>
      <c r="D9" s="2">
        <v>1500000</v>
      </c>
      <c r="E9" s="3" t="s">
        <v>71</v>
      </c>
      <c r="F9" s="69">
        <f>(C9/C12)*D9</f>
        <v>358490.56603773584</v>
      </c>
      <c r="I9" s="17">
        <v>39.909999999999997</v>
      </c>
      <c r="N9" s="20"/>
      <c r="O9" s="29">
        <v>5.2</v>
      </c>
      <c r="P9" s="30"/>
      <c r="Q9" s="31"/>
      <c r="R9" s="29">
        <v>5.7</v>
      </c>
      <c r="S9" s="30"/>
      <c r="T9" s="31"/>
      <c r="U9" s="29">
        <v>6.7</v>
      </c>
      <c r="V9" s="30"/>
      <c r="W9" s="31"/>
      <c r="X9" s="29">
        <v>6.5</v>
      </c>
      <c r="Y9" s="30"/>
      <c r="Z9" s="31"/>
      <c r="AA9" s="29">
        <v>6.8</v>
      </c>
    </row>
    <row r="10" spans="1:27" ht="15" thickBot="1" x14ac:dyDescent="0.35">
      <c r="B10" t="s">
        <v>72</v>
      </c>
      <c r="C10" s="17">
        <v>1.1735</v>
      </c>
      <c r="D10" s="3"/>
      <c r="E10" s="3"/>
      <c r="F10" s="69"/>
      <c r="I10" s="17">
        <v>1.1645000000000001</v>
      </c>
      <c r="N10" s="20"/>
      <c r="O10" s="29">
        <v>5.2</v>
      </c>
      <c r="P10" s="30"/>
      <c r="Q10" s="31"/>
      <c r="R10" s="29">
        <v>5.7</v>
      </c>
      <c r="T10" s="21" t="s">
        <v>5</v>
      </c>
      <c r="U10" s="29">
        <v>6.7</v>
      </c>
      <c r="V10" s="30"/>
      <c r="W10" s="31"/>
      <c r="X10" s="29">
        <v>6.5</v>
      </c>
      <c r="Y10" s="30"/>
      <c r="Z10" s="21" t="s">
        <v>5</v>
      </c>
      <c r="AA10" s="29">
        <v>6.8</v>
      </c>
    </row>
    <row r="11" spans="1:27" x14ac:dyDescent="0.3">
      <c r="B11" t="s">
        <v>73</v>
      </c>
      <c r="C11" s="98">
        <v>31.1</v>
      </c>
      <c r="D11" s="3" t="s">
        <v>74</v>
      </c>
      <c r="E11" s="3"/>
      <c r="F11" s="69"/>
    </row>
    <row r="12" spans="1:27" x14ac:dyDescent="0.3">
      <c r="B12" t="s">
        <v>75</v>
      </c>
      <c r="C12" s="17">
        <v>159</v>
      </c>
      <c r="D12" s="3" t="s">
        <v>76</v>
      </c>
      <c r="E12" s="3"/>
      <c r="F12" s="69"/>
    </row>
    <row r="13" spans="1:27" x14ac:dyDescent="0.3">
      <c r="B13" t="s">
        <v>80</v>
      </c>
      <c r="C13" s="97">
        <v>1705</v>
      </c>
      <c r="D13" s="2">
        <v>4000</v>
      </c>
      <c r="E13" s="3" t="s">
        <v>77</v>
      </c>
      <c r="F13" s="69">
        <f>C13*D13</f>
        <v>6820000</v>
      </c>
      <c r="I13" s="97">
        <v>1708</v>
      </c>
    </row>
    <row r="14" spans="1:27" x14ac:dyDescent="0.3">
      <c r="F14" s="69"/>
    </row>
    <row r="15" spans="1:27" ht="15" thickBot="1" x14ac:dyDescent="0.35">
      <c r="F15" s="69">
        <f>F8+F9+F13</f>
        <v>7907751.0161985075</v>
      </c>
      <c r="G15" t="s">
        <v>8</v>
      </c>
    </row>
    <row r="16" spans="1:27" ht="15" thickBot="1" x14ac:dyDescent="0.35">
      <c r="C16" s="138" t="s">
        <v>175</v>
      </c>
      <c r="F16" s="70">
        <f>F15/C10</f>
        <v>6738603.3371951496</v>
      </c>
      <c r="G16" t="s">
        <v>9</v>
      </c>
      <c r="I16" s="137">
        <v>6801883</v>
      </c>
    </row>
    <row r="18" spans="1:27" x14ac:dyDescent="0.3">
      <c r="A18" s="17" t="s">
        <v>6</v>
      </c>
      <c r="B18" s="57" t="s">
        <v>60</v>
      </c>
      <c r="C18" s="53"/>
      <c r="D18" s="53"/>
      <c r="E18" s="53"/>
      <c r="F18" s="53"/>
      <c r="G18" s="53"/>
      <c r="H18" s="53"/>
      <c r="I18" s="53"/>
    </row>
    <row r="19" spans="1:27" ht="15" thickBot="1" x14ac:dyDescent="0.35">
      <c r="B19" s="57" t="s">
        <v>62</v>
      </c>
      <c r="C19" s="53"/>
      <c r="D19" s="53"/>
      <c r="E19" s="53"/>
      <c r="F19" s="53"/>
      <c r="G19" s="53"/>
      <c r="H19" s="53"/>
      <c r="I19" s="53"/>
    </row>
    <row r="20" spans="1:27" ht="15" thickBot="1" x14ac:dyDescent="0.35">
      <c r="N20" s="20"/>
      <c r="O20" s="73">
        <v>1.96</v>
      </c>
      <c r="P20" s="68"/>
      <c r="Q20" s="74"/>
      <c r="R20" s="73">
        <v>1.81</v>
      </c>
      <c r="S20" s="68"/>
      <c r="T20" s="74"/>
      <c r="U20" s="73">
        <v>2.0299999999999998</v>
      </c>
      <c r="V20" s="68"/>
      <c r="W20" s="74"/>
      <c r="X20" s="73">
        <v>2.54</v>
      </c>
      <c r="Y20" s="68"/>
      <c r="Z20" s="74"/>
      <c r="AA20" s="73">
        <v>2.66</v>
      </c>
    </row>
    <row r="21" spans="1:27" ht="15" thickBot="1" x14ac:dyDescent="0.35">
      <c r="B21" s="27" t="s">
        <v>61</v>
      </c>
      <c r="C21" s="28">
        <v>0.71560000000000001</v>
      </c>
      <c r="E21" t="s">
        <v>58</v>
      </c>
      <c r="F21" s="28">
        <f>1/C21</f>
        <v>1.397428731134712</v>
      </c>
      <c r="G21" s="26"/>
      <c r="N21" s="20"/>
      <c r="O21" s="73">
        <v>1.96</v>
      </c>
      <c r="Q21" s="21" t="s">
        <v>5</v>
      </c>
      <c r="R21" s="73">
        <v>1.81</v>
      </c>
      <c r="S21" s="68"/>
      <c r="T21" s="74"/>
      <c r="U21" s="73">
        <v>2.0299999999999998</v>
      </c>
      <c r="V21" s="68"/>
      <c r="W21" s="74"/>
      <c r="X21" s="73">
        <v>2.54</v>
      </c>
      <c r="Y21" s="68"/>
      <c r="Z21" s="74"/>
      <c r="AA21" s="73">
        <v>2.66</v>
      </c>
    </row>
    <row r="22" spans="1:27" x14ac:dyDescent="0.3">
      <c r="B22" s="27" t="s">
        <v>7</v>
      </c>
      <c r="C22" s="28">
        <v>0.90510000000000002</v>
      </c>
      <c r="E22" t="s">
        <v>54</v>
      </c>
      <c r="F22" s="28">
        <f>1/C22</f>
        <v>1.1048502927853276</v>
      </c>
      <c r="G22" s="26"/>
    </row>
    <row r="23" spans="1:27" x14ac:dyDescent="0.3">
      <c r="B23" s="27" t="s">
        <v>55</v>
      </c>
      <c r="C23" s="28">
        <v>1.0777000000000001</v>
      </c>
      <c r="F23" s="28"/>
      <c r="G23" s="26"/>
    </row>
    <row r="24" spans="1:27" x14ac:dyDescent="0.3">
      <c r="B24" s="27" t="s">
        <v>57</v>
      </c>
      <c r="C24" s="28">
        <v>0.91949999999999998</v>
      </c>
      <c r="E24" t="s">
        <v>56</v>
      </c>
      <c r="F24" s="28">
        <f>1/C24</f>
        <v>1.0875475802066341</v>
      </c>
    </row>
    <row r="25" spans="1:27" x14ac:dyDescent="0.3">
      <c r="B25" s="27"/>
      <c r="E25" s="63"/>
      <c r="I25" s="28"/>
    </row>
    <row r="26" spans="1:27" x14ac:dyDescent="0.3">
      <c r="B26" s="64" t="s">
        <v>59</v>
      </c>
      <c r="C26" s="65">
        <f>C23/(C22*C24*C21)</f>
        <v>1.8095861035473375</v>
      </c>
      <c r="E26" s="63"/>
      <c r="F26" s="65">
        <f>F21*F22*C23*F24</f>
        <v>1.8095861035473377</v>
      </c>
    </row>
    <row r="28" spans="1:27" x14ac:dyDescent="0.3">
      <c r="A28" s="17" t="s">
        <v>110</v>
      </c>
      <c r="B28" s="57" t="s">
        <v>53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27" ht="15.6" x14ac:dyDescent="0.35">
      <c r="B29" s="57" t="s">
        <v>88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27" ht="15" thickBot="1" x14ac:dyDescent="0.35"/>
    <row r="31" spans="1:27" ht="15" thickBot="1" x14ac:dyDescent="0.35">
      <c r="B31" s="60"/>
      <c r="D31" s="3" t="s">
        <v>50</v>
      </c>
      <c r="E31" s="3" t="s">
        <v>51</v>
      </c>
      <c r="N31" s="20"/>
      <c r="O31" s="23">
        <v>-26000</v>
      </c>
      <c r="Q31" s="20"/>
      <c r="R31" s="23">
        <v>-15700</v>
      </c>
      <c r="T31" s="20"/>
      <c r="U31" s="23">
        <v>1300</v>
      </c>
      <c r="W31" s="20"/>
      <c r="X31" s="23">
        <v>27000</v>
      </c>
      <c r="Z31" s="20"/>
      <c r="AA31" s="23">
        <v>19650</v>
      </c>
    </row>
    <row r="32" spans="1:27" ht="15" thickBot="1" x14ac:dyDescent="0.35">
      <c r="B32" s="60"/>
      <c r="C32">
        <v>1</v>
      </c>
      <c r="D32" s="43">
        <v>1.9E-2</v>
      </c>
      <c r="E32" s="43">
        <f>D32</f>
        <v>1.9E-2</v>
      </c>
      <c r="N32" s="20"/>
      <c r="O32" s="23">
        <v>-26000</v>
      </c>
      <c r="Q32" s="20"/>
      <c r="R32" s="23">
        <v>-15700</v>
      </c>
      <c r="T32" s="20"/>
      <c r="U32" s="23">
        <v>1300</v>
      </c>
      <c r="W32" s="21" t="s">
        <v>5</v>
      </c>
      <c r="X32" s="23">
        <v>27000</v>
      </c>
      <c r="Z32" s="20"/>
      <c r="AA32" s="23">
        <v>19650</v>
      </c>
    </row>
    <row r="33" spans="1:11" x14ac:dyDescent="0.3">
      <c r="B33" s="61"/>
      <c r="C33">
        <v>2</v>
      </c>
      <c r="D33" s="43">
        <v>0.02</v>
      </c>
      <c r="E33" s="43">
        <f>(1+D33)^C33/(1+D32)^C32-1</f>
        <v>2.1000981354268866E-2</v>
      </c>
    </row>
    <row r="34" spans="1:11" x14ac:dyDescent="0.3">
      <c r="C34">
        <v>3</v>
      </c>
      <c r="D34" s="43">
        <v>2.3E-2</v>
      </c>
      <c r="E34" s="43">
        <f t="shared" ref="E34:E35" si="0">(1+D34)^C34/(1+D33)^C33-1</f>
        <v>2.9026496539792168E-2</v>
      </c>
    </row>
    <row r="35" spans="1:11" x14ac:dyDescent="0.3">
      <c r="C35">
        <v>4</v>
      </c>
      <c r="D35" s="43">
        <v>2.1000000000000001E-2</v>
      </c>
      <c r="E35" s="59">
        <f t="shared" si="0"/>
        <v>1.5023429848231684E-2</v>
      </c>
    </row>
    <row r="37" spans="1:11" x14ac:dyDescent="0.3">
      <c r="C37" t="s">
        <v>52</v>
      </c>
      <c r="E37" s="62">
        <f>56000000*(1.55%-1.5%)/(1+1.5%)</f>
        <v>27586.20689655175</v>
      </c>
    </row>
    <row r="38" spans="1:11" x14ac:dyDescent="0.3">
      <c r="E38" s="62"/>
    </row>
    <row r="39" spans="1:11" x14ac:dyDescent="0.3">
      <c r="A39" s="17" t="s">
        <v>111</v>
      </c>
      <c r="B39" s="57" t="s">
        <v>112</v>
      </c>
      <c r="C39" s="53"/>
      <c r="D39" s="53"/>
      <c r="E39" s="75"/>
      <c r="F39" s="53"/>
      <c r="G39" s="53"/>
      <c r="H39" s="53"/>
      <c r="I39" s="53"/>
      <c r="J39" s="53"/>
      <c r="K39" s="53"/>
    </row>
    <row r="40" spans="1:11" x14ac:dyDescent="0.3">
      <c r="A40" s="17"/>
      <c r="B40" s="53"/>
      <c r="C40" s="76">
        <v>0.47208333333333335</v>
      </c>
      <c r="D40" s="57" t="s">
        <v>27</v>
      </c>
      <c r="E40" s="75"/>
      <c r="F40" s="53"/>
      <c r="G40" s="53"/>
      <c r="H40" s="53"/>
      <c r="I40" s="53"/>
      <c r="J40" s="53"/>
      <c r="K40" s="53"/>
    </row>
    <row r="41" spans="1:11" x14ac:dyDescent="0.3">
      <c r="A41" s="17"/>
      <c r="B41" s="53"/>
      <c r="C41" s="76">
        <v>0.47218749999999998</v>
      </c>
      <c r="D41" s="57" t="s">
        <v>28</v>
      </c>
      <c r="E41" s="75"/>
      <c r="F41" s="53"/>
      <c r="G41" s="53"/>
      <c r="H41" s="53"/>
      <c r="I41" s="53"/>
      <c r="J41" s="53"/>
      <c r="K41" s="53"/>
    </row>
    <row r="42" spans="1:11" x14ac:dyDescent="0.3">
      <c r="A42" s="17"/>
      <c r="B42" s="53"/>
      <c r="C42" s="76">
        <v>0.47238425925925925</v>
      </c>
      <c r="D42" s="57" t="s">
        <v>33</v>
      </c>
      <c r="E42" s="75"/>
      <c r="F42" s="53"/>
      <c r="G42" s="53"/>
      <c r="H42" s="53"/>
      <c r="I42" s="53"/>
      <c r="J42" s="53"/>
      <c r="K42" s="53"/>
    </row>
    <row r="43" spans="1:11" ht="15" thickBot="1" x14ac:dyDescent="0.35"/>
    <row r="44" spans="1:11" ht="15" thickBot="1" x14ac:dyDescent="0.35">
      <c r="C44" s="123" t="s">
        <v>23</v>
      </c>
      <c r="D44" s="124"/>
      <c r="E44" s="124"/>
      <c r="F44" s="125"/>
    </row>
    <row r="45" spans="1:11" ht="15" thickBot="1" x14ac:dyDescent="0.35">
      <c r="C45" s="126" t="s">
        <v>2</v>
      </c>
      <c r="D45" s="127"/>
      <c r="E45" s="126" t="s">
        <v>3</v>
      </c>
      <c r="F45" s="127"/>
    </row>
    <row r="46" spans="1:11" ht="15" thickBot="1" x14ac:dyDescent="0.35">
      <c r="C46" s="4" t="s">
        <v>0</v>
      </c>
      <c r="D46" s="5" t="s">
        <v>1</v>
      </c>
      <c r="E46" s="5" t="s">
        <v>1</v>
      </c>
      <c r="F46" s="6" t="s">
        <v>0</v>
      </c>
    </row>
    <row r="47" spans="1:11" x14ac:dyDescent="0.3">
      <c r="C47" s="7">
        <v>6500</v>
      </c>
      <c r="D47" s="8">
        <v>94.3</v>
      </c>
      <c r="E47" s="13">
        <v>94.4</v>
      </c>
      <c r="F47" s="48">
        <v>4800</v>
      </c>
    </row>
    <row r="48" spans="1:11" x14ac:dyDescent="0.3">
      <c r="C48" s="9">
        <v>8900</v>
      </c>
      <c r="D48" s="10">
        <v>94.2</v>
      </c>
      <c r="E48" s="14">
        <v>94.5</v>
      </c>
      <c r="F48" s="19">
        <v>14500</v>
      </c>
    </row>
    <row r="49" spans="3:9" ht="15" thickBot="1" x14ac:dyDescent="0.35">
      <c r="C49" s="11">
        <v>3100</v>
      </c>
      <c r="D49" s="12">
        <v>94.1</v>
      </c>
      <c r="E49" s="15">
        <v>94.6</v>
      </c>
      <c r="F49" s="16">
        <v>2300</v>
      </c>
      <c r="I49" t="s">
        <v>24</v>
      </c>
    </row>
    <row r="50" spans="3:9" ht="15" thickBot="1" x14ac:dyDescent="0.35">
      <c r="I50" t="s">
        <v>27</v>
      </c>
    </row>
    <row r="51" spans="3:9" ht="15" thickBot="1" x14ac:dyDescent="0.35">
      <c r="C51" s="123" t="s">
        <v>25</v>
      </c>
      <c r="D51" s="124"/>
      <c r="E51" s="124"/>
      <c r="F51" s="125"/>
      <c r="I51" t="s">
        <v>29</v>
      </c>
    </row>
    <row r="52" spans="3:9" ht="15" thickBot="1" x14ac:dyDescent="0.35">
      <c r="C52" s="126" t="s">
        <v>2</v>
      </c>
      <c r="D52" s="127"/>
      <c r="E52" s="126" t="s">
        <v>3</v>
      </c>
      <c r="F52" s="127"/>
    </row>
    <row r="53" spans="3:9" ht="15" thickBot="1" x14ac:dyDescent="0.35">
      <c r="C53" s="4" t="s">
        <v>0</v>
      </c>
      <c r="D53" s="5" t="s">
        <v>1</v>
      </c>
      <c r="E53" s="5" t="s">
        <v>1</v>
      </c>
      <c r="F53" s="6" t="s">
        <v>0</v>
      </c>
    </row>
    <row r="54" spans="3:9" x14ac:dyDescent="0.3">
      <c r="C54" s="45">
        <v>5400</v>
      </c>
      <c r="D54" s="8">
        <v>94.2</v>
      </c>
      <c r="E54" s="13">
        <v>94.4</v>
      </c>
      <c r="F54" s="48">
        <v>4800</v>
      </c>
    </row>
    <row r="55" spans="3:9" x14ac:dyDescent="0.3">
      <c r="C55" s="9">
        <v>3100</v>
      </c>
      <c r="D55" s="10">
        <v>94.1</v>
      </c>
      <c r="E55" s="14">
        <v>94.5</v>
      </c>
      <c r="F55" s="19">
        <v>14500</v>
      </c>
      <c r="I55" s="1"/>
    </row>
    <row r="56" spans="3:9" ht="15" thickBot="1" x14ac:dyDescent="0.35">
      <c r="C56" s="11"/>
      <c r="D56" s="12"/>
      <c r="E56" s="15">
        <v>94.6</v>
      </c>
      <c r="F56" s="16">
        <v>2300</v>
      </c>
      <c r="I56" t="s">
        <v>26</v>
      </c>
    </row>
    <row r="57" spans="3:9" ht="15" thickBot="1" x14ac:dyDescent="0.35">
      <c r="I57" t="s">
        <v>28</v>
      </c>
    </row>
    <row r="58" spans="3:9" ht="15" thickBot="1" x14ac:dyDescent="0.35">
      <c r="C58" s="123" t="s">
        <v>126</v>
      </c>
      <c r="D58" s="124"/>
      <c r="E58" s="124"/>
      <c r="F58" s="125"/>
      <c r="I58" t="s">
        <v>30</v>
      </c>
    </row>
    <row r="59" spans="3:9" ht="15" thickBot="1" x14ac:dyDescent="0.35">
      <c r="C59" s="126" t="s">
        <v>2</v>
      </c>
      <c r="D59" s="127"/>
      <c r="E59" s="126" t="s">
        <v>3</v>
      </c>
      <c r="F59" s="127"/>
    </row>
    <row r="60" spans="3:9" ht="15" thickBot="1" x14ac:dyDescent="0.35">
      <c r="C60" s="4" t="s">
        <v>0</v>
      </c>
      <c r="D60" s="5" t="s">
        <v>1</v>
      </c>
      <c r="E60" s="5" t="s">
        <v>1</v>
      </c>
      <c r="F60" s="6" t="s">
        <v>0</v>
      </c>
    </row>
    <row r="61" spans="3:9" x14ac:dyDescent="0.3">
      <c r="C61" s="45">
        <v>6000</v>
      </c>
      <c r="D61" s="50">
        <v>94.3</v>
      </c>
      <c r="E61" s="13">
        <v>94.4</v>
      </c>
      <c r="F61" s="48">
        <v>4800</v>
      </c>
    </row>
    <row r="62" spans="3:9" x14ac:dyDescent="0.3">
      <c r="C62" s="9">
        <v>5400</v>
      </c>
      <c r="D62" s="10">
        <v>94.2</v>
      </c>
      <c r="E62" s="14">
        <v>94.5</v>
      </c>
      <c r="F62" s="19">
        <v>14500</v>
      </c>
    </row>
    <row r="63" spans="3:9" ht="15" thickBot="1" x14ac:dyDescent="0.35">
      <c r="C63" s="11">
        <v>3100</v>
      </c>
      <c r="D63" s="12">
        <v>94.1</v>
      </c>
      <c r="E63" s="15">
        <v>94.6</v>
      </c>
      <c r="F63" s="16">
        <v>2300</v>
      </c>
      <c r="I63" t="s">
        <v>31</v>
      </c>
    </row>
    <row r="64" spans="3:9" ht="15" thickBot="1" x14ac:dyDescent="0.35">
      <c r="I64" t="s">
        <v>33</v>
      </c>
    </row>
    <row r="65" spans="1:27" ht="15" thickBot="1" x14ac:dyDescent="0.35">
      <c r="C65" s="123" t="s">
        <v>32</v>
      </c>
      <c r="D65" s="124"/>
      <c r="E65" s="124"/>
      <c r="F65" s="125"/>
      <c r="I65" t="s">
        <v>29</v>
      </c>
    </row>
    <row r="66" spans="1:27" ht="15" thickBot="1" x14ac:dyDescent="0.35">
      <c r="C66" s="126" t="s">
        <v>2</v>
      </c>
      <c r="D66" s="127"/>
      <c r="E66" s="126" t="s">
        <v>3</v>
      </c>
      <c r="F66" s="127"/>
    </row>
    <row r="67" spans="1:27" ht="15" thickBot="1" x14ac:dyDescent="0.35">
      <c r="C67" s="4" t="s">
        <v>0</v>
      </c>
      <c r="D67" s="5" t="s">
        <v>1</v>
      </c>
      <c r="E67" s="5" t="s">
        <v>1</v>
      </c>
      <c r="F67" s="6" t="s">
        <v>0</v>
      </c>
    </row>
    <row r="68" spans="1:27" ht="15" thickBot="1" x14ac:dyDescent="0.35">
      <c r="C68" s="7">
        <v>6000</v>
      </c>
      <c r="D68" s="77">
        <v>94.3</v>
      </c>
      <c r="E68" s="78">
        <v>94.5</v>
      </c>
      <c r="F68" s="46">
        <v>13300</v>
      </c>
      <c r="N68" s="20"/>
      <c r="O68" s="23" t="s">
        <v>96</v>
      </c>
      <c r="Q68" s="20"/>
      <c r="R68" s="23" t="s">
        <v>97</v>
      </c>
      <c r="T68" s="20"/>
      <c r="U68" s="23" t="s">
        <v>95</v>
      </c>
      <c r="W68" s="20"/>
      <c r="X68" s="23" t="s">
        <v>98</v>
      </c>
      <c r="Z68" s="20"/>
      <c r="AA68" s="23" t="s">
        <v>99</v>
      </c>
    </row>
    <row r="69" spans="1:27" ht="15" thickBot="1" x14ac:dyDescent="0.35">
      <c r="C69" s="9">
        <v>5400</v>
      </c>
      <c r="D69" s="10">
        <v>94.2</v>
      </c>
      <c r="E69" s="14">
        <v>94.6</v>
      </c>
      <c r="F69" s="19">
        <v>2300</v>
      </c>
      <c r="I69" s="1"/>
      <c r="N69" s="20"/>
      <c r="O69" s="23" t="s">
        <v>96</v>
      </c>
      <c r="Q69" s="20"/>
      <c r="R69" s="23" t="s">
        <v>97</v>
      </c>
      <c r="T69" s="21" t="s">
        <v>5</v>
      </c>
      <c r="U69" s="23" t="s">
        <v>95</v>
      </c>
      <c r="W69" s="20"/>
      <c r="X69" s="23" t="s">
        <v>98</v>
      </c>
      <c r="Z69" s="20"/>
      <c r="AA69" s="23" t="s">
        <v>99</v>
      </c>
    </row>
    <row r="70" spans="1:27" ht="15" thickBot="1" x14ac:dyDescent="0.35">
      <c r="C70" s="11">
        <v>3100</v>
      </c>
      <c r="D70" s="12">
        <v>94.1</v>
      </c>
      <c r="E70" s="15"/>
      <c r="F70" s="16"/>
    </row>
    <row r="72" spans="1:27" x14ac:dyDescent="0.3">
      <c r="A72" s="17" t="s">
        <v>113</v>
      </c>
      <c r="B72" s="57" t="s">
        <v>114</v>
      </c>
      <c r="C72" s="53"/>
      <c r="D72" s="53"/>
      <c r="E72" s="75"/>
      <c r="F72" s="53"/>
      <c r="G72" s="53"/>
      <c r="H72" s="53"/>
      <c r="I72" s="53"/>
      <c r="J72" s="53"/>
      <c r="K72" s="53"/>
      <c r="L72" s="53"/>
    </row>
    <row r="73" spans="1:27" x14ac:dyDescent="0.3">
      <c r="B73" s="53"/>
      <c r="C73" s="76">
        <v>0.46827546296296302</v>
      </c>
      <c r="D73" s="57" t="s">
        <v>22</v>
      </c>
      <c r="E73" s="53"/>
      <c r="F73" s="53"/>
      <c r="G73" s="53"/>
      <c r="H73" s="53"/>
      <c r="I73" s="53"/>
      <c r="J73" s="53"/>
      <c r="K73" s="53"/>
      <c r="L73" s="53"/>
    </row>
    <row r="74" spans="1:27" x14ac:dyDescent="0.3">
      <c r="B74" s="53"/>
      <c r="C74" s="76">
        <v>0.46407407407407408</v>
      </c>
      <c r="D74" s="57" t="s">
        <v>21</v>
      </c>
      <c r="E74" s="53"/>
      <c r="F74" s="53"/>
      <c r="G74" s="53"/>
      <c r="H74" s="53"/>
      <c r="I74" s="53"/>
      <c r="J74" s="53"/>
      <c r="K74" s="53"/>
      <c r="L74" s="53"/>
    </row>
    <row r="75" spans="1:27" ht="15" thickBot="1" x14ac:dyDescent="0.35"/>
    <row r="76" spans="1:27" ht="15" thickBot="1" x14ac:dyDescent="0.35">
      <c r="C76" s="123" t="s">
        <v>23</v>
      </c>
      <c r="D76" s="124"/>
      <c r="E76" s="124"/>
      <c r="F76" s="125"/>
    </row>
    <row r="77" spans="1:27" ht="15" thickBot="1" x14ac:dyDescent="0.35">
      <c r="C77" s="126" t="s">
        <v>2</v>
      </c>
      <c r="D77" s="127"/>
      <c r="E77" s="126" t="s">
        <v>3</v>
      </c>
      <c r="F77" s="127"/>
    </row>
    <row r="78" spans="1:27" ht="15" thickBot="1" x14ac:dyDescent="0.35">
      <c r="C78" s="4" t="s">
        <v>0</v>
      </c>
      <c r="D78" s="5" t="s">
        <v>1</v>
      </c>
      <c r="E78" s="5" t="s">
        <v>1</v>
      </c>
      <c r="F78" s="6" t="s">
        <v>0</v>
      </c>
      <c r="N78" s="20"/>
      <c r="O78" s="23" t="s">
        <v>90</v>
      </c>
      <c r="Q78" s="20"/>
      <c r="R78" s="23" t="s">
        <v>91</v>
      </c>
      <c r="T78" s="20"/>
      <c r="U78" s="23" t="s">
        <v>92</v>
      </c>
      <c r="W78" s="20"/>
      <c r="X78" s="23" t="s">
        <v>93</v>
      </c>
      <c r="Z78" s="20"/>
      <c r="AA78" s="23" t="s">
        <v>94</v>
      </c>
    </row>
    <row r="79" spans="1:27" ht="15" thickBot="1" x14ac:dyDescent="0.35">
      <c r="C79" s="7">
        <v>6500</v>
      </c>
      <c r="D79" s="8">
        <v>94.3</v>
      </c>
      <c r="E79" s="13">
        <v>94.4</v>
      </c>
      <c r="F79" s="48">
        <v>4800</v>
      </c>
      <c r="I79" s="1"/>
      <c r="N79" s="20"/>
      <c r="O79" s="23" t="s">
        <v>90</v>
      </c>
      <c r="Q79" s="21" t="s">
        <v>5</v>
      </c>
      <c r="R79" s="23" t="s">
        <v>91</v>
      </c>
      <c r="T79" s="20"/>
      <c r="U79" s="23" t="s">
        <v>92</v>
      </c>
      <c r="W79" s="20"/>
      <c r="X79" s="23" t="s">
        <v>93</v>
      </c>
      <c r="Z79" s="20"/>
      <c r="AA79" s="23" t="s">
        <v>94</v>
      </c>
    </row>
    <row r="80" spans="1:27" x14ac:dyDescent="0.3">
      <c r="C80" s="9">
        <v>8900</v>
      </c>
      <c r="D80" s="10">
        <v>94.2</v>
      </c>
      <c r="E80" s="14">
        <v>94.5</v>
      </c>
      <c r="F80" s="19">
        <v>14500</v>
      </c>
    </row>
    <row r="81" spans="3:9" ht="15" thickBot="1" x14ac:dyDescent="0.35">
      <c r="C81" s="11">
        <v>3100</v>
      </c>
      <c r="D81" s="12">
        <v>94.1</v>
      </c>
      <c r="E81" s="15">
        <v>94.6</v>
      </c>
      <c r="F81" s="16">
        <v>2300</v>
      </c>
      <c r="I81" t="s">
        <v>115</v>
      </c>
    </row>
    <row r="82" spans="3:9" ht="15" thickBot="1" x14ac:dyDescent="0.35">
      <c r="I82" t="s">
        <v>22</v>
      </c>
    </row>
    <row r="83" spans="3:9" ht="15" thickBot="1" x14ac:dyDescent="0.35">
      <c r="C83" s="123" t="s">
        <v>128</v>
      </c>
      <c r="D83" s="124"/>
      <c r="E83" s="124"/>
      <c r="F83" s="125"/>
      <c r="I83" t="s">
        <v>127</v>
      </c>
    </row>
    <row r="84" spans="3:9" ht="15" thickBot="1" x14ac:dyDescent="0.35">
      <c r="C84" s="126" t="s">
        <v>2</v>
      </c>
      <c r="D84" s="127"/>
      <c r="E84" s="126" t="s">
        <v>3</v>
      </c>
      <c r="F84" s="127"/>
    </row>
    <row r="85" spans="3:9" ht="15" thickBot="1" x14ac:dyDescent="0.35">
      <c r="C85" s="4" t="s">
        <v>0</v>
      </c>
      <c r="D85" s="5" t="s">
        <v>1</v>
      </c>
      <c r="E85" s="5" t="s">
        <v>1</v>
      </c>
      <c r="F85" s="6" t="s">
        <v>0</v>
      </c>
    </row>
    <row r="86" spans="3:9" x14ac:dyDescent="0.3">
      <c r="C86" s="47">
        <v>6500</v>
      </c>
      <c r="D86" s="8">
        <v>94.3</v>
      </c>
      <c r="E86" s="13">
        <v>94.4</v>
      </c>
      <c r="F86" s="46">
        <v>8600</v>
      </c>
    </row>
    <row r="87" spans="3:9" x14ac:dyDescent="0.3">
      <c r="C87" s="9">
        <v>8900</v>
      </c>
      <c r="D87" s="10">
        <v>94.2</v>
      </c>
      <c r="E87" s="14">
        <v>94.5</v>
      </c>
      <c r="F87" s="19">
        <v>14500</v>
      </c>
    </row>
    <row r="88" spans="3:9" ht="15" thickBot="1" x14ac:dyDescent="0.35">
      <c r="C88" s="11">
        <v>3100</v>
      </c>
      <c r="D88" s="12">
        <v>94.1</v>
      </c>
      <c r="E88" s="15">
        <v>94.6</v>
      </c>
      <c r="F88" s="16">
        <v>2300</v>
      </c>
      <c r="I88" t="s">
        <v>116</v>
      </c>
    </row>
    <row r="89" spans="3:9" ht="15" thickBot="1" x14ac:dyDescent="0.35">
      <c r="I89" t="s">
        <v>21</v>
      </c>
    </row>
    <row r="90" spans="3:9" ht="15" thickBot="1" x14ac:dyDescent="0.35">
      <c r="C90" s="123" t="s">
        <v>129</v>
      </c>
      <c r="D90" s="124"/>
      <c r="E90" s="124"/>
      <c r="F90" s="125"/>
      <c r="I90" t="s">
        <v>29</v>
      </c>
    </row>
    <row r="91" spans="3:9" ht="15" thickBot="1" x14ac:dyDescent="0.35">
      <c r="C91" s="126" t="s">
        <v>2</v>
      </c>
      <c r="D91" s="127"/>
      <c r="E91" s="126" t="s">
        <v>3</v>
      </c>
      <c r="F91" s="127"/>
      <c r="I91" s="1"/>
    </row>
    <row r="92" spans="3:9" ht="15" thickBot="1" x14ac:dyDescent="0.35">
      <c r="C92" s="4" t="s">
        <v>0</v>
      </c>
      <c r="D92" s="5" t="s">
        <v>1</v>
      </c>
      <c r="E92" s="5" t="s">
        <v>1</v>
      </c>
      <c r="F92" s="6" t="s">
        <v>0</v>
      </c>
    </row>
    <row r="93" spans="3:9" x14ac:dyDescent="0.3">
      <c r="C93" s="79">
        <v>11300</v>
      </c>
      <c r="D93" s="8">
        <v>94.3</v>
      </c>
      <c r="E93" s="13">
        <v>94.4</v>
      </c>
      <c r="F93" s="80">
        <v>8600</v>
      </c>
    </row>
    <row r="94" spans="3:9" x14ac:dyDescent="0.3">
      <c r="C94" s="9">
        <v>8900</v>
      </c>
      <c r="D94" s="10">
        <v>94.2</v>
      </c>
      <c r="E94" s="14">
        <v>94.5</v>
      </c>
      <c r="F94" s="19">
        <v>14500</v>
      </c>
    </row>
    <row r="95" spans="3:9" ht="15" thickBot="1" x14ac:dyDescent="0.35">
      <c r="C95" s="11">
        <v>3100</v>
      </c>
      <c r="D95" s="12">
        <v>94.1</v>
      </c>
      <c r="E95" s="15">
        <v>94.6</v>
      </c>
      <c r="F95" s="16">
        <v>2300</v>
      </c>
    </row>
    <row r="97" spans="1:27" x14ac:dyDescent="0.3">
      <c r="A97" s="17" t="s">
        <v>11</v>
      </c>
      <c r="B97" s="92" t="s">
        <v>13</v>
      </c>
      <c r="C97" s="92"/>
      <c r="D97" s="92"/>
      <c r="E97" s="92"/>
      <c r="F97" s="92"/>
      <c r="G97" s="92"/>
      <c r="H97" s="92"/>
      <c r="I97" s="92"/>
      <c r="J97" s="87"/>
    </row>
    <row r="98" spans="1:27" ht="15" thickBot="1" x14ac:dyDescent="0.35"/>
    <row r="99" spans="1:27" ht="15.6" thickBot="1" x14ac:dyDescent="0.4">
      <c r="B99" s="88" t="s">
        <v>1</v>
      </c>
      <c r="C99" s="89" t="s">
        <v>34</v>
      </c>
      <c r="D99" s="90">
        <v>94.05</v>
      </c>
      <c r="E99" s="90">
        <v>94</v>
      </c>
      <c r="F99" s="90">
        <v>93.95</v>
      </c>
      <c r="G99" s="90">
        <v>93.9</v>
      </c>
      <c r="H99" s="90">
        <v>93.85</v>
      </c>
      <c r="I99" s="89" t="s">
        <v>35</v>
      </c>
    </row>
    <row r="100" spans="1:27" ht="15" thickBot="1" x14ac:dyDescent="0.35">
      <c r="B100" s="88" t="s">
        <v>36</v>
      </c>
      <c r="C100" s="91">
        <v>450</v>
      </c>
      <c r="D100" s="89">
        <v>180</v>
      </c>
      <c r="E100" s="89">
        <v>360</v>
      </c>
      <c r="F100" s="89">
        <v>410</v>
      </c>
      <c r="G100" s="89">
        <v>720</v>
      </c>
      <c r="H100" s="89">
        <v>260</v>
      </c>
      <c r="I100" s="89"/>
    </row>
    <row r="101" spans="1:27" ht="15" thickBot="1" x14ac:dyDescent="0.35">
      <c r="B101" s="88" t="s">
        <v>37</v>
      </c>
      <c r="C101" s="89"/>
      <c r="D101" s="89">
        <v>90</v>
      </c>
      <c r="E101" s="89">
        <v>200</v>
      </c>
      <c r="F101" s="89">
        <v>400</v>
      </c>
      <c r="G101" s="89">
        <v>250</v>
      </c>
      <c r="H101" s="89">
        <v>140</v>
      </c>
      <c r="I101" s="89">
        <v>360</v>
      </c>
    </row>
    <row r="103" spans="1:27" x14ac:dyDescent="0.3">
      <c r="B103" s="32" t="s">
        <v>14</v>
      </c>
      <c r="C103" s="1">
        <f>C100</f>
        <v>450</v>
      </c>
      <c r="D103" s="1">
        <f>C103+D100</f>
        <v>630</v>
      </c>
      <c r="E103" s="1">
        <f t="shared" ref="E103" si="1">D103+E100</f>
        <v>990</v>
      </c>
      <c r="F103" s="1">
        <f t="shared" ref="F103" si="2">E103+F100</f>
        <v>1400</v>
      </c>
      <c r="G103" s="1">
        <f t="shared" ref="G103" si="3">F103+G100</f>
        <v>2120</v>
      </c>
      <c r="H103" s="1">
        <f t="shared" ref="H103" si="4">G103+H100</f>
        <v>2380</v>
      </c>
      <c r="I103" s="1">
        <f t="shared" ref="I103" si="5">H103+I100</f>
        <v>2380</v>
      </c>
    </row>
    <row r="104" spans="1:27" x14ac:dyDescent="0.3">
      <c r="B104" s="32" t="s">
        <v>15</v>
      </c>
      <c r="C104" s="1">
        <f t="shared" ref="C104" si="6">D104+C101</f>
        <v>1440</v>
      </c>
      <c r="D104" s="1">
        <f t="shared" ref="D104" si="7">E104+D101</f>
        <v>1440</v>
      </c>
      <c r="E104" s="1">
        <f t="shared" ref="E104" si="8">F104+E101</f>
        <v>1350</v>
      </c>
      <c r="F104" s="1">
        <f t="shared" ref="F104" si="9">G104+F101</f>
        <v>1150</v>
      </c>
      <c r="G104" s="1">
        <f t="shared" ref="G104" si="10">H104+G101</f>
        <v>750</v>
      </c>
      <c r="H104" s="1">
        <f>I104+H101</f>
        <v>500</v>
      </c>
      <c r="I104" s="1">
        <f>I101</f>
        <v>360</v>
      </c>
    </row>
    <row r="106" spans="1:27" x14ac:dyDescent="0.3">
      <c r="B106" s="32" t="s">
        <v>16</v>
      </c>
      <c r="C106">
        <f>ABS(C103-C104)</f>
        <v>990</v>
      </c>
      <c r="D106">
        <f t="shared" ref="D106:I106" si="11">ABS(D103-D104)</f>
        <v>810</v>
      </c>
      <c r="E106">
        <f t="shared" si="11"/>
        <v>360</v>
      </c>
      <c r="F106" s="49">
        <f t="shared" si="11"/>
        <v>250</v>
      </c>
      <c r="G106">
        <f t="shared" si="11"/>
        <v>1370</v>
      </c>
      <c r="H106">
        <f t="shared" si="11"/>
        <v>1880</v>
      </c>
      <c r="I106">
        <f t="shared" si="11"/>
        <v>2020</v>
      </c>
    </row>
    <row r="107" spans="1:27" ht="15" thickBot="1" x14ac:dyDescent="0.35"/>
    <row r="108" spans="1:27" x14ac:dyDescent="0.3">
      <c r="B108" s="33" t="s">
        <v>17</v>
      </c>
      <c r="C108" s="99">
        <f>F99</f>
        <v>93.95</v>
      </c>
      <c r="D108" s="34" t="s">
        <v>18</v>
      </c>
      <c r="E108" s="35"/>
      <c r="F108" s="36">
        <f>MIN(F103:F104)</f>
        <v>1150</v>
      </c>
      <c r="G108" s="36"/>
      <c r="H108" s="37"/>
      <c r="I108" s="37"/>
      <c r="J108" s="38"/>
      <c r="K108" s="81"/>
      <c r="L108" s="81"/>
      <c r="M108" s="82"/>
    </row>
    <row r="109" spans="1:27" ht="15" thickBot="1" x14ac:dyDescent="0.35">
      <c r="B109" s="39" t="s">
        <v>38</v>
      </c>
      <c r="C109" s="40"/>
      <c r="D109" s="40"/>
      <c r="E109" s="40"/>
      <c r="F109" s="40"/>
      <c r="G109" s="40"/>
      <c r="H109" s="40"/>
      <c r="I109" s="40"/>
      <c r="J109" s="41"/>
      <c r="K109" s="83"/>
      <c r="L109" s="83"/>
      <c r="M109" s="84"/>
    </row>
    <row r="110" spans="1:27" ht="15" thickBot="1" x14ac:dyDescent="0.35"/>
    <row r="111" spans="1:27" ht="15" thickBot="1" x14ac:dyDescent="0.35">
      <c r="C111" s="126" t="s">
        <v>2</v>
      </c>
      <c r="D111" s="127"/>
      <c r="E111" s="126" t="s">
        <v>3</v>
      </c>
      <c r="F111" s="127"/>
      <c r="N111" s="20"/>
      <c r="O111" s="23" t="s">
        <v>100</v>
      </c>
      <c r="Q111" s="20"/>
      <c r="R111" s="23" t="s">
        <v>101</v>
      </c>
      <c r="T111" s="20"/>
      <c r="U111" s="23" t="s">
        <v>102</v>
      </c>
      <c r="W111" s="20"/>
      <c r="X111" s="23" t="s">
        <v>103</v>
      </c>
      <c r="Z111" s="20"/>
      <c r="AA111" s="23" t="s">
        <v>104</v>
      </c>
    </row>
    <row r="112" spans="1:27" ht="15" thickBot="1" x14ac:dyDescent="0.35">
      <c r="C112" s="4" t="s">
        <v>0</v>
      </c>
      <c r="D112" s="5" t="s">
        <v>1</v>
      </c>
      <c r="E112" s="5" t="s">
        <v>1</v>
      </c>
      <c r="F112" s="6" t="s">
        <v>0</v>
      </c>
      <c r="N112" s="21" t="s">
        <v>5</v>
      </c>
      <c r="O112" s="23" t="s">
        <v>100</v>
      </c>
      <c r="Q112" s="20"/>
      <c r="R112" s="23" t="s">
        <v>101</v>
      </c>
      <c r="T112" s="20"/>
      <c r="U112" s="23" t="s">
        <v>102</v>
      </c>
      <c r="W112" s="20"/>
      <c r="X112" s="23" t="s">
        <v>103</v>
      </c>
      <c r="Z112" s="20"/>
      <c r="AA112" s="23" t="s">
        <v>104</v>
      </c>
    </row>
    <row r="113" spans="1:27" x14ac:dyDescent="0.3">
      <c r="C113" s="85">
        <v>250</v>
      </c>
      <c r="D113" s="86">
        <v>93.95</v>
      </c>
      <c r="E113" s="13">
        <v>94</v>
      </c>
      <c r="F113" s="48">
        <v>200</v>
      </c>
    </row>
    <row r="114" spans="1:27" x14ac:dyDescent="0.3">
      <c r="C114" s="9">
        <v>720</v>
      </c>
      <c r="D114" s="10">
        <v>93.9</v>
      </c>
      <c r="E114" s="14">
        <v>94.1</v>
      </c>
      <c r="F114" s="19">
        <v>90</v>
      </c>
    </row>
    <row r="115" spans="1:27" ht="15" thickBot="1" x14ac:dyDescent="0.35">
      <c r="C115" s="11">
        <v>260</v>
      </c>
      <c r="D115" s="12">
        <v>93.85</v>
      </c>
      <c r="E115" s="15"/>
      <c r="F115" s="16"/>
    </row>
    <row r="117" spans="1:27" x14ac:dyDescent="0.3">
      <c r="A117" s="17" t="s">
        <v>12</v>
      </c>
      <c r="B117" s="57" t="s">
        <v>117</v>
      </c>
      <c r="C117" s="57"/>
      <c r="D117" s="57"/>
      <c r="E117" s="57"/>
      <c r="F117" s="57"/>
      <c r="G117" s="57"/>
      <c r="H117" s="57"/>
      <c r="I117" s="57"/>
    </row>
    <row r="118" spans="1:27" ht="15" thickBot="1" x14ac:dyDescent="0.35">
      <c r="B118" s="57" t="s">
        <v>39</v>
      </c>
      <c r="C118" s="57"/>
      <c r="D118" s="57"/>
      <c r="E118" s="57"/>
      <c r="F118" s="57"/>
      <c r="G118" s="57"/>
      <c r="H118" s="57"/>
      <c r="I118" s="57"/>
    </row>
    <row r="119" spans="1:27" ht="15" thickBot="1" x14ac:dyDescent="0.35">
      <c r="N119" s="20"/>
      <c r="O119" s="71">
        <v>3.5999999999999997E-2</v>
      </c>
      <c r="P119" s="24"/>
      <c r="Q119" s="72"/>
      <c r="R119" s="71">
        <v>3.7999999999999999E-2</v>
      </c>
      <c r="S119" s="24"/>
      <c r="T119" s="72"/>
      <c r="U119" s="71">
        <v>3.3000000000000002E-2</v>
      </c>
      <c r="V119" s="24"/>
      <c r="W119" s="72"/>
      <c r="X119" s="71">
        <v>2.9499999999999998E-2</v>
      </c>
      <c r="Y119" s="24"/>
      <c r="Z119" s="72"/>
      <c r="AA119" s="71">
        <v>3.5000000000000003E-2</v>
      </c>
    </row>
    <row r="120" spans="1:27" ht="15" thickBot="1" x14ac:dyDescent="0.35">
      <c r="C120" t="s">
        <v>43</v>
      </c>
      <c r="E120" s="51">
        <f>3%/(1-1.03^-5)</f>
        <v>0.21835457140057621</v>
      </c>
      <c r="F120" t="s">
        <v>130</v>
      </c>
      <c r="L120" t="s">
        <v>63</v>
      </c>
      <c r="N120" s="20"/>
      <c r="O120" s="71">
        <v>3.5999999999999997E-2</v>
      </c>
      <c r="P120" s="24"/>
      <c r="Q120" s="72"/>
      <c r="R120" s="71">
        <v>3.7999999999999999E-2</v>
      </c>
      <c r="S120" s="24"/>
      <c r="T120" s="72"/>
      <c r="U120" s="71">
        <v>3.3000000000000002E-2</v>
      </c>
      <c r="V120" s="24"/>
      <c r="W120" s="72"/>
      <c r="X120" s="71">
        <v>2.9499999999999998E-2</v>
      </c>
      <c r="Z120" s="21" t="s">
        <v>5</v>
      </c>
      <c r="AA120" s="71">
        <v>3.5000000000000003E-2</v>
      </c>
    </row>
    <row r="122" spans="1:27" x14ac:dyDescent="0.3">
      <c r="C122">
        <v>0</v>
      </c>
      <c r="D122" s="22">
        <v>-0.98550000000000004</v>
      </c>
    </row>
    <row r="123" spans="1:27" x14ac:dyDescent="0.3">
      <c r="C123">
        <v>1</v>
      </c>
      <c r="D123" s="22">
        <f>E120</f>
        <v>0.21835457140057621</v>
      </c>
      <c r="F123" t="s">
        <v>132</v>
      </c>
      <c r="I123" s="22">
        <v>1</v>
      </c>
    </row>
    <row r="124" spans="1:27" x14ac:dyDescent="0.3">
      <c r="C124">
        <v>2</v>
      </c>
      <c r="D124" s="22">
        <f>D123</f>
        <v>0.21835457140057621</v>
      </c>
      <c r="F124" t="s">
        <v>40</v>
      </c>
    </row>
    <row r="125" spans="1:27" x14ac:dyDescent="0.3">
      <c r="C125">
        <v>3</v>
      </c>
      <c r="D125" s="22">
        <f t="shared" ref="D125:D127" si="12">D124</f>
        <v>0.21835457140057621</v>
      </c>
      <c r="F125" t="s">
        <v>41</v>
      </c>
    </row>
    <row r="126" spans="1:27" x14ac:dyDescent="0.3">
      <c r="C126">
        <v>4</v>
      </c>
      <c r="D126" s="22">
        <f t="shared" si="12"/>
        <v>0.21835457140057621</v>
      </c>
      <c r="F126" t="s">
        <v>42</v>
      </c>
      <c r="I126" s="24">
        <f>(3%/4%)*((1-1.04^-5)/(1-1.03^-5))</f>
        <v>0.97207575704055893</v>
      </c>
    </row>
    <row r="127" spans="1:27" x14ac:dyDescent="0.3">
      <c r="C127">
        <v>5</v>
      </c>
      <c r="D127" s="22">
        <f t="shared" si="12"/>
        <v>0.21835457140057621</v>
      </c>
    </row>
    <row r="128" spans="1:27" ht="15" thickBot="1" x14ac:dyDescent="0.35"/>
    <row r="129" spans="1:27" ht="15" thickBot="1" x14ac:dyDescent="0.35">
      <c r="B129" t="s">
        <v>131</v>
      </c>
      <c r="D129" s="25">
        <f>IRR(D122:D127)</f>
        <v>3.5136971976206244E-2</v>
      </c>
      <c r="F129" t="s">
        <v>10</v>
      </c>
      <c r="I129" s="25">
        <f>3%+(4%-3%)*((100%-98.55%)/(100%-97.21%))</f>
        <v>3.5197132616487471E-2</v>
      </c>
    </row>
    <row r="130" spans="1:27" ht="15" thickBot="1" x14ac:dyDescent="0.35"/>
    <row r="131" spans="1:27" ht="15" thickBot="1" x14ac:dyDescent="0.35">
      <c r="A131" s="17" t="s">
        <v>118</v>
      </c>
      <c r="B131" s="57" t="s">
        <v>87</v>
      </c>
      <c r="C131" s="57"/>
      <c r="D131" s="57"/>
      <c r="E131" s="57"/>
      <c r="F131" s="57"/>
      <c r="G131" s="57"/>
      <c r="H131" s="57"/>
      <c r="I131" s="57"/>
      <c r="J131" s="57"/>
      <c r="N131" s="20"/>
      <c r="O131" s="23">
        <v>74</v>
      </c>
      <c r="Q131" s="20"/>
      <c r="R131" s="23">
        <v>76</v>
      </c>
      <c r="T131" s="20"/>
      <c r="U131" s="23">
        <v>92</v>
      </c>
      <c r="W131" s="20"/>
      <c r="X131" s="23">
        <v>99</v>
      </c>
      <c r="Z131" s="20"/>
      <c r="AA131" s="23">
        <v>105</v>
      </c>
    </row>
    <row r="132" spans="1:27" ht="15" thickBot="1" x14ac:dyDescent="0.35">
      <c r="B132" s="57" t="s">
        <v>82</v>
      </c>
      <c r="C132" s="57"/>
      <c r="D132" s="57"/>
      <c r="E132" s="57"/>
      <c r="F132" s="57"/>
      <c r="G132" s="57"/>
      <c r="H132" s="57"/>
      <c r="I132" s="57"/>
      <c r="J132" s="57"/>
      <c r="N132" s="20"/>
      <c r="O132" s="23">
        <v>74</v>
      </c>
      <c r="Q132" s="20"/>
      <c r="R132" s="23">
        <v>76</v>
      </c>
      <c r="T132" s="21" t="s">
        <v>5</v>
      </c>
      <c r="U132" s="23">
        <v>92</v>
      </c>
      <c r="W132" s="20"/>
      <c r="X132" s="23">
        <v>99</v>
      </c>
      <c r="Z132" s="20"/>
      <c r="AA132" s="23">
        <v>105</v>
      </c>
    </row>
    <row r="134" spans="1:27" x14ac:dyDescent="0.3">
      <c r="C134" t="s">
        <v>83</v>
      </c>
      <c r="D134" s="3">
        <v>11</v>
      </c>
    </row>
    <row r="135" spans="1:27" x14ac:dyDescent="0.3">
      <c r="C135" t="s">
        <v>84</v>
      </c>
      <c r="D135" s="3">
        <v>51</v>
      </c>
    </row>
    <row r="136" spans="1:27" x14ac:dyDescent="0.3">
      <c r="C136" t="s">
        <v>85</v>
      </c>
      <c r="D136" s="3">
        <v>24</v>
      </c>
    </row>
    <row r="137" spans="1:27" x14ac:dyDescent="0.3">
      <c r="C137" t="s">
        <v>86</v>
      </c>
      <c r="D137" s="3">
        <v>6</v>
      </c>
    </row>
    <row r="138" spans="1:27" ht="15" thickBot="1" x14ac:dyDescent="0.35"/>
    <row r="139" spans="1:27" ht="15" thickBot="1" x14ac:dyDescent="0.35">
      <c r="D139" s="93">
        <f>SUM(D134:D137)</f>
        <v>92</v>
      </c>
    </row>
    <row r="141" spans="1:27" x14ac:dyDescent="0.3">
      <c r="A141" s="17" t="s">
        <v>119</v>
      </c>
      <c r="B141" s="94" t="s">
        <v>65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1:27" x14ac:dyDescent="0.3">
      <c r="B142" s="52" t="s">
        <v>69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4" spans="1:27" ht="15" thickBot="1" x14ac:dyDescent="0.35">
      <c r="F144" t="s">
        <v>63</v>
      </c>
    </row>
    <row r="145" spans="1:27" ht="15" thickBot="1" x14ac:dyDescent="0.35">
      <c r="B145" t="s">
        <v>66</v>
      </c>
      <c r="D145" s="67">
        <v>5.4</v>
      </c>
      <c r="E145" s="67">
        <v>5.6</v>
      </c>
      <c r="N145" s="20"/>
      <c r="O145" s="23" t="s">
        <v>105</v>
      </c>
      <c r="Q145" s="20"/>
      <c r="R145" s="23" t="s">
        <v>106</v>
      </c>
      <c r="T145" s="20"/>
      <c r="U145" s="23" t="s">
        <v>107</v>
      </c>
      <c r="W145" s="20"/>
      <c r="X145" s="23" t="s">
        <v>108</v>
      </c>
      <c r="Z145" s="20"/>
      <c r="AA145" s="23" t="s">
        <v>109</v>
      </c>
    </row>
    <row r="146" spans="1:27" ht="15" thickBot="1" x14ac:dyDescent="0.35">
      <c r="B146" t="s">
        <v>67</v>
      </c>
      <c r="D146" s="43">
        <v>2.5000000000000001E-2</v>
      </c>
      <c r="E146" s="43">
        <v>2.7E-2</v>
      </c>
      <c r="N146" s="21" t="s">
        <v>5</v>
      </c>
      <c r="O146" s="23" t="s">
        <v>105</v>
      </c>
      <c r="Q146" s="20"/>
      <c r="R146" s="23" t="s">
        <v>106</v>
      </c>
      <c r="T146" s="20"/>
      <c r="U146" s="23" t="s">
        <v>107</v>
      </c>
      <c r="W146" s="20"/>
      <c r="X146" s="23" t="s">
        <v>108</v>
      </c>
      <c r="Z146" s="20"/>
      <c r="AA146" s="23" t="s">
        <v>109</v>
      </c>
    </row>
    <row r="147" spans="1:27" x14ac:dyDescent="0.3">
      <c r="B147" t="s">
        <v>68</v>
      </c>
      <c r="D147" s="43">
        <v>0.03</v>
      </c>
      <c r="E147" s="43">
        <v>3.15E-2</v>
      </c>
    </row>
    <row r="148" spans="1:27" ht="15" thickBot="1" x14ac:dyDescent="0.35"/>
    <row r="149" spans="1:27" ht="15" thickBot="1" x14ac:dyDescent="0.35">
      <c r="B149" t="s">
        <v>64</v>
      </c>
      <c r="D149" s="66">
        <f>D145*(1+E146/2)/(1+D147/2)</f>
        <v>5.3920197044334994</v>
      </c>
      <c r="E149" s="42">
        <f>E145*(1+D146/2)/(1+E147/2)</f>
        <v>5.5820822052670431</v>
      </c>
    </row>
    <row r="151" spans="1:27" x14ac:dyDescent="0.3">
      <c r="A151" s="17" t="s">
        <v>120</v>
      </c>
      <c r="B151" s="52" t="s">
        <v>121</v>
      </c>
      <c r="C151" s="53"/>
      <c r="D151" s="54"/>
      <c r="E151" s="54"/>
      <c r="F151" s="54"/>
      <c r="G151" s="54"/>
      <c r="H151" s="55"/>
      <c r="I151" s="56"/>
      <c r="J151" s="53"/>
      <c r="K151" s="53"/>
      <c r="L151" s="53"/>
      <c r="M151" s="53"/>
    </row>
    <row r="152" spans="1:27" x14ac:dyDescent="0.3">
      <c r="B152" s="57" t="s">
        <v>122</v>
      </c>
      <c r="C152" s="58"/>
      <c r="D152" s="53"/>
      <c r="E152" s="53"/>
      <c r="F152" s="53"/>
      <c r="G152" s="53"/>
      <c r="H152" s="55"/>
      <c r="I152" s="56"/>
      <c r="J152" s="53"/>
      <c r="K152" s="53"/>
      <c r="L152" s="53"/>
      <c r="M152" s="53"/>
    </row>
    <row r="153" spans="1:27" ht="15" thickBot="1" x14ac:dyDescent="0.35"/>
    <row r="154" spans="1:27" ht="15" thickBot="1" x14ac:dyDescent="0.35">
      <c r="C154" t="s">
        <v>46</v>
      </c>
      <c r="E154" s="24">
        <f>2.4%/2.5%</f>
        <v>0.96</v>
      </c>
      <c r="N154" s="20"/>
      <c r="O154" s="71">
        <v>-5.2999999999999999E-2</v>
      </c>
      <c r="P154" s="24"/>
      <c r="Q154" s="72"/>
      <c r="R154" s="71">
        <v>-6.8400000000000002E-2</v>
      </c>
      <c r="S154" s="24"/>
      <c r="T154" s="72"/>
      <c r="U154" s="71">
        <v>-7.1999999999999995E-2</v>
      </c>
      <c r="V154" s="24"/>
      <c r="W154" s="72"/>
      <c r="X154" s="71">
        <v>-2.69E-2</v>
      </c>
      <c r="Y154" s="24"/>
      <c r="Z154" s="72"/>
      <c r="AA154" s="71">
        <v>7.5999999999999998E-2</v>
      </c>
    </row>
    <row r="155" spans="1:27" ht="15" thickBot="1" x14ac:dyDescent="0.35">
      <c r="C155" t="s">
        <v>47</v>
      </c>
      <c r="E155">
        <f>(1+2.5%)/2.5%</f>
        <v>40.999999999999993</v>
      </c>
      <c r="N155" s="20"/>
      <c r="O155" s="71">
        <v>-5.2999999999999999E-2</v>
      </c>
      <c r="P155" s="24"/>
      <c r="Q155" s="72"/>
      <c r="R155" s="71">
        <v>-6.8400000000000002E-2</v>
      </c>
      <c r="T155" s="21" t="s">
        <v>5</v>
      </c>
      <c r="U155" s="71">
        <v>-7.1999999999999995E-2</v>
      </c>
      <c r="V155" s="24"/>
      <c r="W155" s="72"/>
      <c r="X155" s="71">
        <v>-2.69E-2</v>
      </c>
      <c r="Y155" s="24"/>
      <c r="Z155" s="72"/>
      <c r="AA155" s="71">
        <v>7.5999999999999998E-2</v>
      </c>
    </row>
    <row r="156" spans="1:27" x14ac:dyDescent="0.3">
      <c r="C156" t="s">
        <v>48</v>
      </c>
      <c r="E156">
        <f>2*E155^2</f>
        <v>3361.9999999999986</v>
      </c>
    </row>
    <row r="159" spans="1:27" ht="15" thickBot="1" x14ac:dyDescent="0.35">
      <c r="C159" t="s">
        <v>44</v>
      </c>
    </row>
    <row r="160" spans="1:27" ht="15" thickBot="1" x14ac:dyDescent="0.35">
      <c r="E160" s="95">
        <f>-41*(0.2%/(1+2.5%)) + (3362/2)*(0.2%/(1+2.5%)) ^2</f>
        <v>-7.3600000000000013E-2</v>
      </c>
    </row>
    <row r="161" spans="3:7" x14ac:dyDescent="0.3">
      <c r="E161" s="24"/>
    </row>
    <row r="162" spans="3:7" ht="15" thickBot="1" x14ac:dyDescent="0.35">
      <c r="C162" t="s">
        <v>49</v>
      </c>
      <c r="D162" s="24">
        <f>2.4%/2.7%</f>
        <v>0.88888888888888884</v>
      </c>
      <c r="F162" t="s">
        <v>124</v>
      </c>
    </row>
    <row r="163" spans="3:7" ht="15" thickBot="1" x14ac:dyDescent="0.35">
      <c r="C163" t="s">
        <v>45</v>
      </c>
      <c r="D163" s="96">
        <f>(D162-E154)/E154</f>
        <v>-7.4074074074074098E-2</v>
      </c>
      <c r="G163" t="s">
        <v>123</v>
      </c>
    </row>
  </sheetData>
  <mergeCells count="23">
    <mergeCell ref="C58:F58"/>
    <mergeCell ref="C59:D59"/>
    <mergeCell ref="E59:F59"/>
    <mergeCell ref="C65:F65"/>
    <mergeCell ref="C66:D66"/>
    <mergeCell ref="E66:F66"/>
    <mergeCell ref="C44:F44"/>
    <mergeCell ref="C45:D45"/>
    <mergeCell ref="E45:F45"/>
    <mergeCell ref="C51:F51"/>
    <mergeCell ref="C52:D52"/>
    <mergeCell ref="E52:F52"/>
    <mergeCell ref="C76:F76"/>
    <mergeCell ref="C77:D77"/>
    <mergeCell ref="E77:F77"/>
    <mergeCell ref="C83:F83"/>
    <mergeCell ref="C84:D84"/>
    <mergeCell ref="E84:F84"/>
    <mergeCell ref="C90:F90"/>
    <mergeCell ref="C91:D91"/>
    <mergeCell ref="E91:F91"/>
    <mergeCell ref="C111:D111"/>
    <mergeCell ref="E111:F1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3" sqref="C3"/>
    </sheetView>
  </sheetViews>
  <sheetFormatPr baseColWidth="10" defaultRowHeight="14.4" x14ac:dyDescent="0.3"/>
  <cols>
    <col min="1" max="1" width="21.5546875" customWidth="1"/>
    <col min="4" max="13" width="7" customWidth="1"/>
  </cols>
  <sheetData>
    <row r="1" spans="1:13" x14ac:dyDescent="0.3">
      <c r="A1" s="17" t="s">
        <v>20</v>
      </c>
      <c r="D1" t="s">
        <v>89</v>
      </c>
    </row>
    <row r="2" spans="1:13" x14ac:dyDescent="0.3">
      <c r="A2" s="17" t="s">
        <v>19</v>
      </c>
    </row>
    <row r="3" spans="1:13" x14ac:dyDescent="0.3">
      <c r="A3" s="17" t="s">
        <v>173</v>
      </c>
    </row>
    <row r="4" spans="1:13" ht="15" thickBot="1" x14ac:dyDescent="0.35"/>
    <row r="5" spans="1:13" ht="15" thickBot="1" x14ac:dyDescent="0.35">
      <c r="A5" s="17" t="s">
        <v>133</v>
      </c>
      <c r="B5" s="18" t="s">
        <v>134</v>
      </c>
      <c r="D5" s="120" t="s">
        <v>135</v>
      </c>
      <c r="E5" s="121" t="s">
        <v>136</v>
      </c>
      <c r="F5" s="121" t="s">
        <v>137</v>
      </c>
      <c r="G5" s="121" t="s">
        <v>138</v>
      </c>
      <c r="H5" s="121" t="s">
        <v>139</v>
      </c>
      <c r="I5" s="121" t="s">
        <v>140</v>
      </c>
      <c r="J5" s="121" t="s">
        <v>141</v>
      </c>
      <c r="K5" s="121" t="s">
        <v>142</v>
      </c>
      <c r="L5" s="121" t="s">
        <v>143</v>
      </c>
      <c r="M5" s="122" t="s">
        <v>120</v>
      </c>
    </row>
    <row r="6" spans="1:13" x14ac:dyDescent="0.3">
      <c r="A6" s="100" t="s">
        <v>156</v>
      </c>
      <c r="B6" s="44">
        <f>SUM(D6:M6)</f>
        <v>6</v>
      </c>
      <c r="D6" s="101">
        <v>0</v>
      </c>
      <c r="E6" s="102">
        <v>2</v>
      </c>
      <c r="F6" s="102">
        <v>2</v>
      </c>
      <c r="G6" s="102">
        <v>2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3">
        <v>0</v>
      </c>
    </row>
    <row r="7" spans="1:13" x14ac:dyDescent="0.3">
      <c r="A7" s="104" t="s">
        <v>157</v>
      </c>
      <c r="B7" s="105">
        <f t="shared" ref="B7:B18" si="0">SUM(D7:M7)</f>
        <v>16</v>
      </c>
      <c r="D7" s="101">
        <v>2</v>
      </c>
      <c r="E7" s="102">
        <v>2</v>
      </c>
      <c r="F7" s="102">
        <v>0</v>
      </c>
      <c r="G7" s="102">
        <v>2</v>
      </c>
      <c r="H7" s="102">
        <v>2</v>
      </c>
      <c r="I7" s="102">
        <v>2</v>
      </c>
      <c r="J7" s="102">
        <v>2</v>
      </c>
      <c r="K7" s="102">
        <v>0</v>
      </c>
      <c r="L7" s="102">
        <v>2</v>
      </c>
      <c r="M7" s="103">
        <v>2</v>
      </c>
    </row>
    <row r="8" spans="1:13" x14ac:dyDescent="0.3">
      <c r="A8" s="104" t="s">
        <v>158</v>
      </c>
      <c r="B8" s="105">
        <f t="shared" si="0"/>
        <v>16</v>
      </c>
      <c r="D8" s="101">
        <v>0</v>
      </c>
      <c r="E8" s="102">
        <v>2</v>
      </c>
      <c r="F8" s="102">
        <v>2</v>
      </c>
      <c r="G8" s="102">
        <v>2</v>
      </c>
      <c r="H8" s="102">
        <v>2</v>
      </c>
      <c r="I8" s="102">
        <v>2</v>
      </c>
      <c r="J8" s="102">
        <v>2</v>
      </c>
      <c r="K8" s="102">
        <v>0</v>
      </c>
      <c r="L8" s="102">
        <v>2</v>
      </c>
      <c r="M8" s="103">
        <v>2</v>
      </c>
    </row>
    <row r="9" spans="1:13" x14ac:dyDescent="0.3">
      <c r="A9" s="104" t="s">
        <v>159</v>
      </c>
      <c r="B9" s="105">
        <f t="shared" si="0"/>
        <v>14</v>
      </c>
      <c r="D9" s="101">
        <v>2</v>
      </c>
      <c r="E9" s="102">
        <v>2</v>
      </c>
      <c r="F9" s="102">
        <v>0</v>
      </c>
      <c r="G9" s="102">
        <v>2</v>
      </c>
      <c r="H9" s="102">
        <v>2</v>
      </c>
      <c r="I9" s="102">
        <v>2</v>
      </c>
      <c r="J9" s="102">
        <v>0</v>
      </c>
      <c r="K9" s="102">
        <v>2</v>
      </c>
      <c r="L9" s="102">
        <v>2</v>
      </c>
      <c r="M9" s="103">
        <v>0</v>
      </c>
    </row>
    <row r="10" spans="1:13" x14ac:dyDescent="0.3">
      <c r="A10" s="104" t="s">
        <v>160</v>
      </c>
      <c r="B10" s="105">
        <f t="shared" si="0"/>
        <v>16</v>
      </c>
      <c r="D10" s="101">
        <v>2</v>
      </c>
      <c r="E10" s="102">
        <v>2</v>
      </c>
      <c r="F10" s="102">
        <v>0</v>
      </c>
      <c r="G10" s="102">
        <v>2</v>
      </c>
      <c r="H10" s="102">
        <v>2</v>
      </c>
      <c r="I10" s="102">
        <v>2</v>
      </c>
      <c r="J10" s="102">
        <v>2</v>
      </c>
      <c r="K10" s="102">
        <v>0</v>
      </c>
      <c r="L10" s="102">
        <v>2</v>
      </c>
      <c r="M10" s="103">
        <v>2</v>
      </c>
    </row>
    <row r="11" spans="1:13" x14ac:dyDescent="0.3">
      <c r="A11" s="104" t="s">
        <v>161</v>
      </c>
      <c r="B11" s="117">
        <f t="shared" si="0"/>
        <v>12</v>
      </c>
      <c r="D11" s="101">
        <v>2</v>
      </c>
      <c r="E11" s="102">
        <v>2</v>
      </c>
      <c r="F11" s="102">
        <v>0</v>
      </c>
      <c r="G11" s="102">
        <v>2</v>
      </c>
      <c r="H11" s="102">
        <v>2</v>
      </c>
      <c r="I11" s="102">
        <v>2</v>
      </c>
      <c r="J11" s="102">
        <v>0</v>
      </c>
      <c r="K11" s="102">
        <v>0</v>
      </c>
      <c r="L11" s="102">
        <v>2</v>
      </c>
      <c r="M11" s="103">
        <v>0</v>
      </c>
    </row>
    <row r="12" spans="1:13" x14ac:dyDescent="0.3">
      <c r="A12" s="104" t="s">
        <v>162</v>
      </c>
      <c r="B12" s="105">
        <f t="shared" si="0"/>
        <v>16</v>
      </c>
      <c r="D12" s="101">
        <v>2</v>
      </c>
      <c r="E12" s="102">
        <v>2</v>
      </c>
      <c r="F12" s="102">
        <v>0</v>
      </c>
      <c r="G12" s="102">
        <v>2</v>
      </c>
      <c r="H12" s="102">
        <v>2</v>
      </c>
      <c r="I12" s="102">
        <v>2</v>
      </c>
      <c r="J12" s="102">
        <v>2</v>
      </c>
      <c r="K12" s="102">
        <v>0</v>
      </c>
      <c r="L12" s="102">
        <v>2</v>
      </c>
      <c r="M12" s="103">
        <v>2</v>
      </c>
    </row>
    <row r="13" spans="1:13" x14ac:dyDescent="0.3">
      <c r="A13" s="104" t="s">
        <v>163</v>
      </c>
      <c r="B13" s="105">
        <f t="shared" si="0"/>
        <v>14</v>
      </c>
      <c r="D13" s="101">
        <v>0</v>
      </c>
      <c r="E13" s="102">
        <v>2</v>
      </c>
      <c r="F13" s="102">
        <v>2</v>
      </c>
      <c r="G13" s="102">
        <v>2</v>
      </c>
      <c r="H13" s="102">
        <v>0</v>
      </c>
      <c r="I13" s="102">
        <v>2</v>
      </c>
      <c r="J13" s="102">
        <v>2</v>
      </c>
      <c r="K13" s="102">
        <v>2</v>
      </c>
      <c r="L13" s="102">
        <v>0</v>
      </c>
      <c r="M13" s="103">
        <v>2</v>
      </c>
    </row>
    <row r="14" spans="1:13" x14ac:dyDescent="0.3">
      <c r="A14" s="104" t="s">
        <v>164</v>
      </c>
      <c r="B14" s="105">
        <f t="shared" si="0"/>
        <v>12</v>
      </c>
      <c r="D14" s="101">
        <v>2</v>
      </c>
      <c r="E14" s="102">
        <v>2</v>
      </c>
      <c r="F14" s="102">
        <v>2</v>
      </c>
      <c r="G14" s="102">
        <v>0</v>
      </c>
      <c r="H14" s="102">
        <v>2</v>
      </c>
      <c r="I14" s="102">
        <v>2</v>
      </c>
      <c r="J14" s="102">
        <v>0</v>
      </c>
      <c r="K14" s="102">
        <v>2</v>
      </c>
      <c r="L14" s="102">
        <v>0</v>
      </c>
      <c r="M14" s="103">
        <v>0</v>
      </c>
    </row>
    <row r="15" spans="1:13" x14ac:dyDescent="0.3">
      <c r="A15" s="104" t="s">
        <v>165</v>
      </c>
      <c r="B15" s="105">
        <f t="shared" si="0"/>
        <v>14</v>
      </c>
      <c r="D15" s="101">
        <v>2</v>
      </c>
      <c r="E15" s="102">
        <v>2</v>
      </c>
      <c r="F15" s="102">
        <v>2</v>
      </c>
      <c r="G15" s="102">
        <v>2</v>
      </c>
      <c r="H15" s="102">
        <v>2</v>
      </c>
      <c r="I15" s="102">
        <v>0</v>
      </c>
      <c r="J15" s="102"/>
      <c r="K15" s="102">
        <v>0</v>
      </c>
      <c r="L15" s="102">
        <v>2</v>
      </c>
      <c r="M15" s="103">
        <v>2</v>
      </c>
    </row>
    <row r="16" spans="1:13" x14ac:dyDescent="0.3">
      <c r="A16" s="104" t="s">
        <v>166</v>
      </c>
      <c r="B16" s="105">
        <f t="shared" si="0"/>
        <v>12</v>
      </c>
      <c r="D16" s="101">
        <v>2</v>
      </c>
      <c r="E16" s="102">
        <v>2</v>
      </c>
      <c r="F16" s="102">
        <v>2</v>
      </c>
      <c r="G16" s="102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2</v>
      </c>
      <c r="M16" s="103">
        <v>2</v>
      </c>
    </row>
    <row r="17" spans="1:13" x14ac:dyDescent="0.3">
      <c r="A17" s="104" t="s">
        <v>167</v>
      </c>
      <c r="B17" s="105">
        <f t="shared" si="0"/>
        <v>14</v>
      </c>
      <c r="D17" s="101">
        <v>0</v>
      </c>
      <c r="E17" s="102">
        <v>2</v>
      </c>
      <c r="F17" s="102">
        <v>2</v>
      </c>
      <c r="G17" s="102">
        <v>2</v>
      </c>
      <c r="H17" s="102">
        <v>2</v>
      </c>
      <c r="I17" s="102">
        <v>2</v>
      </c>
      <c r="J17" s="102">
        <v>0</v>
      </c>
      <c r="K17" s="102">
        <v>0</v>
      </c>
      <c r="L17" s="102">
        <v>2</v>
      </c>
      <c r="M17" s="103">
        <v>2</v>
      </c>
    </row>
    <row r="18" spans="1:13" ht="15" thickBot="1" x14ac:dyDescent="0.35">
      <c r="A18" s="106" t="s">
        <v>168</v>
      </c>
      <c r="B18" s="107">
        <f t="shared" si="0"/>
        <v>14</v>
      </c>
      <c r="D18" s="108">
        <v>2</v>
      </c>
      <c r="E18" s="109">
        <v>2</v>
      </c>
      <c r="F18" s="109">
        <v>0</v>
      </c>
      <c r="G18" s="109">
        <v>2</v>
      </c>
      <c r="H18" s="109">
        <v>2</v>
      </c>
      <c r="I18" s="109">
        <v>2</v>
      </c>
      <c r="J18" s="109">
        <v>2</v>
      </c>
      <c r="K18" s="109">
        <v>0</v>
      </c>
      <c r="L18" s="109">
        <v>2</v>
      </c>
      <c r="M18" s="110">
        <v>0</v>
      </c>
    </row>
    <row r="19" spans="1:13" ht="9" customHeight="1" x14ac:dyDescent="0.3">
      <c r="B19" s="18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thickBot="1" x14ac:dyDescent="0.35">
      <c r="A20" t="s">
        <v>144</v>
      </c>
      <c r="B20" s="18">
        <f>COUNT(B6:B18)</f>
        <v>13</v>
      </c>
    </row>
    <row r="21" spans="1:13" ht="15" thickBot="1" x14ac:dyDescent="0.35">
      <c r="A21" t="s">
        <v>145</v>
      </c>
      <c r="B21" s="111">
        <f>AVERAGE(B6:B18)</f>
        <v>13.538461538461538</v>
      </c>
      <c r="D21" s="118">
        <f t="shared" ref="D21:M21" si="1">AVERAGE(D6:D18)</f>
        <v>1.3846153846153846</v>
      </c>
      <c r="E21" s="118">
        <f t="shared" si="1"/>
        <v>2</v>
      </c>
      <c r="F21" s="118">
        <f t="shared" si="1"/>
        <v>1.0769230769230769</v>
      </c>
      <c r="G21" s="118">
        <f t="shared" si="1"/>
        <v>1.8461538461538463</v>
      </c>
      <c r="H21" s="118">
        <f t="shared" si="1"/>
        <v>1.5384615384615385</v>
      </c>
      <c r="I21" s="118">
        <f t="shared" si="1"/>
        <v>1.5384615384615385</v>
      </c>
      <c r="J21" s="118">
        <f t="shared" si="1"/>
        <v>1</v>
      </c>
      <c r="K21" s="118">
        <f t="shared" si="1"/>
        <v>0.46153846153846156</v>
      </c>
      <c r="L21" s="118">
        <f t="shared" si="1"/>
        <v>1.5384615384615385</v>
      </c>
      <c r="M21" s="118">
        <f t="shared" si="1"/>
        <v>1.2307692307692308</v>
      </c>
    </row>
    <row r="22" spans="1:13" ht="15" thickBot="1" x14ac:dyDescent="0.35">
      <c r="A22" t="s">
        <v>146</v>
      </c>
      <c r="B22" s="113">
        <f>STDEV(B6:B18)</f>
        <v>2.726884199209314</v>
      </c>
    </row>
    <row r="23" spans="1:13" ht="15" thickBot="1" x14ac:dyDescent="0.35">
      <c r="A23" t="s">
        <v>147</v>
      </c>
      <c r="B23" s="18">
        <f>MIN(B6:B18)</f>
        <v>6</v>
      </c>
      <c r="D23" s="128" t="s">
        <v>148</v>
      </c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15" thickBot="1" x14ac:dyDescent="0.35">
      <c r="A24" t="s">
        <v>149</v>
      </c>
      <c r="B24" s="18">
        <f>MAX(B6:B18)</f>
        <v>16</v>
      </c>
      <c r="D24" s="134" t="s">
        <v>169</v>
      </c>
      <c r="E24" s="135"/>
      <c r="F24" s="136"/>
      <c r="G24" s="134" t="s">
        <v>170</v>
      </c>
      <c r="H24" s="135"/>
      <c r="I24" s="136"/>
      <c r="J24" s="134" t="s">
        <v>171</v>
      </c>
      <c r="K24" s="135"/>
      <c r="L24" s="136"/>
      <c r="M24" s="119" t="s">
        <v>172</v>
      </c>
    </row>
    <row r="25" spans="1:13" ht="15" thickBot="1" x14ac:dyDescent="0.35">
      <c r="A25" t="s">
        <v>150</v>
      </c>
      <c r="B25" s="18">
        <f>MEDIAN(B6:B18)</f>
        <v>14</v>
      </c>
      <c r="D25" s="128" t="s">
        <v>153</v>
      </c>
      <c r="E25" s="129"/>
      <c r="F25" s="130"/>
      <c r="G25" s="131" t="s">
        <v>152</v>
      </c>
      <c r="H25" s="132"/>
      <c r="I25" s="133"/>
      <c r="J25" s="128" t="s">
        <v>151</v>
      </c>
      <c r="K25" s="129"/>
      <c r="L25" s="130"/>
      <c r="M25" s="114" t="s">
        <v>154</v>
      </c>
    </row>
    <row r="26" spans="1:13" ht="15" thickBot="1" x14ac:dyDescent="0.35">
      <c r="A26" t="s">
        <v>155</v>
      </c>
      <c r="B26" s="18">
        <f>COUNTIF(B6:B18,"&lt;10")</f>
        <v>1</v>
      </c>
      <c r="D26" s="115"/>
      <c r="E26" s="112">
        <f>AVERAGE(G21:I21)</f>
        <v>1.6410256410256412</v>
      </c>
      <c r="F26" s="116"/>
      <c r="G26" s="115"/>
      <c r="H26" s="112">
        <f>AVERAGE(F21,J21,M21)</f>
        <v>1.1025641025641024</v>
      </c>
      <c r="I26" s="116"/>
      <c r="J26" s="115"/>
      <c r="K26" s="112">
        <f>AVERAGE(E21,L21)</f>
        <v>1.7692307692307692</v>
      </c>
      <c r="L26" s="116"/>
      <c r="M26" s="112">
        <f>AVERAGE(D21,K21)</f>
        <v>0.92307692307692313</v>
      </c>
    </row>
    <row r="27" spans="1:13" ht="5.25" customHeight="1" x14ac:dyDescent="0.3"/>
    <row r="28" spans="1:13" x14ac:dyDescent="0.3">
      <c r="B28" t="s">
        <v>177</v>
      </c>
    </row>
    <row r="29" spans="1:13" x14ac:dyDescent="0.3">
      <c r="B29" t="s">
        <v>176</v>
      </c>
    </row>
  </sheetData>
  <mergeCells count="7">
    <mergeCell ref="D25:F25"/>
    <mergeCell ref="G25:I25"/>
    <mergeCell ref="J25:L25"/>
    <mergeCell ref="D23:M23"/>
    <mergeCell ref="D24:F24"/>
    <mergeCell ref="G24:I24"/>
    <mergeCell ref="J24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FRANCOIS-HEUDE</cp:lastModifiedBy>
  <dcterms:created xsi:type="dcterms:W3CDTF">2019-10-06T14:57:00Z</dcterms:created>
  <dcterms:modified xsi:type="dcterms:W3CDTF">2020-10-06T06:46:27Z</dcterms:modified>
</cp:coreProperties>
</file>