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22116" windowHeight="8496" activeTab="1"/>
  </bookViews>
  <sheets>
    <sheet name="Corrigé" sheetId="1" r:id="rId1"/>
    <sheet name="Notes" sheetId="3" r:id="rId2"/>
  </sheets>
  <calcPr calcId="145621"/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K15" i="3"/>
  <c r="L15" i="3"/>
  <c r="M15" i="3"/>
  <c r="N15" i="3"/>
  <c r="E15" i="3"/>
  <c r="C19" i="3"/>
  <c r="C18" i="3"/>
  <c r="C17" i="3"/>
  <c r="C16" i="3"/>
  <c r="C15" i="3"/>
  <c r="C13" i="3"/>
  <c r="C11" i="3"/>
  <c r="C9" i="3"/>
  <c r="C5" i="3"/>
  <c r="C6" i="3"/>
  <c r="C12" i="3"/>
  <c r="C7" i="3"/>
  <c r="C8" i="3"/>
  <c r="C10" i="3"/>
  <c r="J34" i="1"/>
  <c r="N20" i="1"/>
  <c r="M20" i="1"/>
  <c r="N19" i="1"/>
  <c r="M19" i="1"/>
  <c r="N18" i="1"/>
  <c r="M18" i="1"/>
  <c r="M17" i="1"/>
  <c r="N17" i="1"/>
  <c r="D20" i="1"/>
  <c r="C133" i="1" l="1"/>
  <c r="C123" i="1"/>
  <c r="C42" i="1"/>
  <c r="F35" i="1"/>
  <c r="E42" i="1" s="1"/>
  <c r="F34" i="1"/>
  <c r="C46" i="1" s="1"/>
  <c r="F33" i="1"/>
  <c r="L7" i="1"/>
  <c r="K4" i="1"/>
  <c r="K10" i="1" s="1"/>
  <c r="J4" i="1"/>
  <c r="J10" i="1" s="1"/>
  <c r="J12" i="1" s="1"/>
  <c r="J19" i="1" s="1"/>
  <c r="D12" i="1"/>
  <c r="D42" i="1" l="1"/>
  <c r="L4" i="1"/>
  <c r="J20" i="1"/>
  <c r="K11" i="1"/>
  <c r="K12" i="1"/>
  <c r="K14" i="1"/>
  <c r="J14" i="1"/>
  <c r="J11" i="1"/>
  <c r="K18" i="1" l="1"/>
  <c r="K19" i="1"/>
  <c r="K20" i="1"/>
  <c r="J18" i="1"/>
  <c r="D18" i="1" s="1"/>
  <c r="D19" i="1" s="1"/>
  <c r="K15" i="1"/>
  <c r="K17" i="1" s="1"/>
  <c r="K13" i="1"/>
  <c r="J13" i="1"/>
  <c r="J15" i="1"/>
  <c r="J17" i="1" s="1"/>
  <c r="D100" i="1"/>
  <c r="E100" i="1"/>
  <c r="F100" i="1"/>
  <c r="C100" i="1"/>
  <c r="E91" i="1"/>
  <c r="E90" i="1"/>
  <c r="E89" i="1"/>
  <c r="C64" i="1"/>
  <c r="F54" i="1"/>
  <c r="E54" i="1"/>
  <c r="F50" i="1"/>
  <c r="E50" i="1"/>
  <c r="D50" i="1"/>
  <c r="D91" i="1"/>
  <c r="D90" i="1"/>
  <c r="D89" i="1"/>
  <c r="E53" i="1"/>
  <c r="F53" i="1" s="1"/>
  <c r="E52" i="1"/>
  <c r="F52" i="1" s="1"/>
  <c r="L17" i="1" l="1"/>
  <c r="E104" i="1"/>
  <c r="D104" i="1"/>
  <c r="D107" i="1"/>
  <c r="E107" i="1"/>
  <c r="C77" i="1"/>
  <c r="D56" i="1"/>
  <c r="D60" i="1" s="1"/>
  <c r="D65" i="1" s="1"/>
  <c r="E56" i="1"/>
  <c r="F56" i="1"/>
  <c r="D58" i="1" l="1"/>
  <c r="D67" i="1" s="1"/>
  <c r="D57" i="1"/>
  <c r="D59" i="1" s="1"/>
  <c r="F60" i="1"/>
  <c r="F65" i="1" s="1"/>
  <c r="F58" i="1"/>
  <c r="E60" i="1"/>
  <c r="E58" i="1"/>
  <c r="E57" i="1"/>
  <c r="D61" i="1" l="1"/>
  <c r="D64" i="1" s="1"/>
  <c r="D66" i="1"/>
  <c r="E66" i="1"/>
  <c r="E67" i="1"/>
  <c r="E65" i="1"/>
  <c r="F66" i="1"/>
  <c r="F67" i="1"/>
  <c r="F77" i="1" s="1" a="1"/>
  <c r="F57" i="1"/>
  <c r="E61" i="1"/>
  <c r="E64" i="1" s="1"/>
  <c r="E59" i="1"/>
  <c r="E76" i="1" l="1" a="1"/>
  <c r="F75" i="1" a="1"/>
  <c r="F75" i="1" s="1"/>
  <c r="E77" i="1" a="1"/>
  <c r="E77" i="1" s="1"/>
  <c r="D86" i="1" s="1"/>
  <c r="F76" i="1" a="1"/>
  <c r="F76" i="1" s="1"/>
  <c r="F77" i="1"/>
  <c r="E75" i="1" a="1"/>
  <c r="E75" i="1" s="1"/>
  <c r="F61" i="1"/>
  <c r="F64" i="1" s="1"/>
  <c r="H65" i="1" s="1"/>
  <c r="F59" i="1"/>
  <c r="E76" i="1"/>
  <c r="D76" i="1" a="1"/>
  <c r="D76" i="1" s="1"/>
  <c r="D75" i="1" a="1"/>
  <c r="D75" i="1" s="1"/>
  <c r="D77" i="1" a="1"/>
  <c r="D77" i="1" s="1"/>
  <c r="D102" i="1" l="1"/>
  <c r="F102" i="1"/>
  <c r="D84" i="1"/>
  <c r="F89" i="1" s="1"/>
  <c r="E102" i="1"/>
  <c r="F104" i="1" s="1"/>
  <c r="C86" i="1"/>
  <c r="C91" i="1" s="1"/>
  <c r="F91" i="1"/>
  <c r="C75" i="1" a="1"/>
  <c r="C75" i="1" s="1"/>
  <c r="C102" i="1" s="1"/>
  <c r="C76" i="1" a="1"/>
  <c r="C76" i="1" s="1"/>
  <c r="D85" i="1"/>
  <c r="F90" i="1" s="1"/>
  <c r="C104" i="1" l="1"/>
  <c r="C84" i="1"/>
  <c r="C89" i="1" s="1"/>
  <c r="F107" i="1"/>
  <c r="F96" i="1" a="1"/>
  <c r="F96" i="1" s="1"/>
  <c r="E96" i="1" a="1"/>
  <c r="E96" i="1" s="1"/>
  <c r="C96" i="1" a="1"/>
  <c r="C96" i="1" s="1"/>
  <c r="D96" i="1" a="1"/>
  <c r="D96" i="1" s="1"/>
  <c r="C85" i="1"/>
  <c r="C90" i="1" s="1"/>
  <c r="D94" i="1" l="1" a="1"/>
  <c r="D94" i="1" s="1"/>
  <c r="E94" i="1" a="1"/>
  <c r="E94" i="1" s="1"/>
  <c r="F94" i="1" a="1"/>
  <c r="F94" i="1" s="1"/>
  <c r="C94" i="1" a="1"/>
  <c r="C94" i="1" s="1"/>
  <c r="C105" i="1" a="1"/>
  <c r="C105" i="1" s="1"/>
  <c r="F105" i="1" a="1"/>
  <c r="F105" i="1" s="1"/>
  <c r="E105" i="1" a="1"/>
  <c r="E105" i="1" s="1"/>
  <c r="F95" i="1" a="1"/>
  <c r="F95" i="1" s="1"/>
  <c r="C107" i="1"/>
  <c r="D105" i="1" s="1" a="1"/>
  <c r="D105" i="1" s="1"/>
  <c r="D95" i="1" a="1"/>
  <c r="D95" i="1" s="1"/>
  <c r="E95" i="1" a="1"/>
  <c r="E95" i="1" s="1"/>
  <c r="C95" i="1" a="1"/>
  <c r="C95" i="1" s="1"/>
  <c r="E109" i="1" l="1"/>
  <c r="D109" i="1"/>
  <c r="C109" i="1"/>
  <c r="F109" i="1"/>
</calcChain>
</file>

<file path=xl/sharedStrings.xml><?xml version="1.0" encoding="utf-8"?>
<sst xmlns="http://schemas.openxmlformats.org/spreadsheetml/2006/main" count="210" uniqueCount="149">
  <si>
    <t>MARCHE</t>
  </si>
  <si>
    <t>CALL A</t>
  </si>
  <si>
    <t>CALL B</t>
  </si>
  <si>
    <t>PUT C</t>
  </si>
  <si>
    <t>prix en 0</t>
  </si>
  <si>
    <t>prix d'Exercice</t>
  </si>
  <si>
    <t>taux d'intérêt/an</t>
  </si>
  <si>
    <t>volatilité/an</t>
  </si>
  <si>
    <t>écheance (en année)</t>
  </si>
  <si>
    <t>d1</t>
  </si>
  <si>
    <t>d2</t>
  </si>
  <si>
    <t>f(d1)</t>
  </si>
  <si>
    <t>f(d2)</t>
  </si>
  <si>
    <t>N(d1)</t>
  </si>
  <si>
    <t>N(d2)</t>
  </si>
  <si>
    <t>Q1</t>
  </si>
  <si>
    <t>Valeur</t>
  </si>
  <si>
    <t>Delta</t>
  </si>
  <si>
    <t>Gamma</t>
  </si>
  <si>
    <t>Véga</t>
  </si>
  <si>
    <t>Quantité détenue</t>
  </si>
  <si>
    <t>Titres</t>
  </si>
  <si>
    <t>Portefeuille 1</t>
  </si>
  <si>
    <t>Portefeuille 2</t>
  </si>
  <si>
    <t>Portefeuille 3</t>
  </si>
  <si>
    <t>Q2</t>
  </si>
  <si>
    <t>Quantité d'options pour un portefeuille delta neutre et gamma neutre ?</t>
  </si>
  <si>
    <t xml:space="preserve"> A partir de la situation initiale</t>
  </si>
  <si>
    <t>Quantité à détenir</t>
  </si>
  <si>
    <t>Option</t>
  </si>
  <si>
    <t>avec PUT C</t>
  </si>
  <si>
    <t>Q3</t>
  </si>
  <si>
    <t>Au final, on ajoute les titres (selon Delta &amp; Gamma)</t>
  </si>
  <si>
    <t>Q4</t>
  </si>
  <si>
    <t>Titre</t>
  </si>
  <si>
    <t>verif parité entre Call B et Put C</t>
  </si>
  <si>
    <t>Vega</t>
  </si>
  <si>
    <r>
      <t>Pour le gamma-delta neutre, il suffit de mettre du Put C (-</t>
    </r>
    <r>
      <rPr>
        <b/>
        <sz val="10"/>
        <rFont val="Calibri"/>
        <family val="2"/>
      </rPr>
      <t>Γ</t>
    </r>
    <r>
      <rPr>
        <b/>
        <vertAlign val="subscript"/>
        <sz val="10"/>
        <rFont val="Arial"/>
        <family val="2"/>
      </rPr>
      <t>port</t>
    </r>
    <r>
      <rPr>
        <b/>
        <sz val="10"/>
        <rFont val="Arial"/>
        <family val="2"/>
      </rPr>
      <t xml:space="preserve"> / Γ</t>
    </r>
    <r>
      <rPr>
        <b/>
        <vertAlign val="subscript"/>
        <sz val="10"/>
        <rFont val="Arial"/>
        <family val="2"/>
      </rPr>
      <t>opt</t>
    </r>
    <r>
      <rPr>
        <b/>
        <sz val="10"/>
        <rFont val="Arial"/>
        <family val="2"/>
      </rPr>
      <t xml:space="preserve"> ) et d'acheter  (-</t>
    </r>
    <r>
      <rPr>
        <b/>
        <sz val="10"/>
        <rFont val="Calibri"/>
        <family val="2"/>
      </rPr>
      <t>∆</t>
    </r>
    <r>
      <rPr>
        <b/>
        <vertAlign val="subscript"/>
        <sz val="10"/>
        <rFont val="Calibri"/>
        <family val="2"/>
      </rPr>
      <t>port</t>
    </r>
    <r>
      <rPr>
        <b/>
        <sz val="10"/>
        <rFont val="Calibri"/>
        <family val="2"/>
      </rPr>
      <t>- Qté</t>
    </r>
    <r>
      <rPr>
        <b/>
        <vertAlign val="subscript"/>
        <sz val="10"/>
        <rFont val="Calibri"/>
        <family val="2"/>
      </rPr>
      <t>opt</t>
    </r>
    <r>
      <rPr>
        <b/>
        <sz val="10"/>
        <rFont val="Calibri"/>
        <family val="2"/>
      </rPr>
      <t>*∆</t>
    </r>
    <r>
      <rPr>
        <b/>
        <vertAlign val="subscript"/>
        <sz val="10"/>
        <rFont val="Calibri"/>
        <family val="2"/>
      </rPr>
      <t>opt</t>
    </r>
    <r>
      <rPr>
        <b/>
        <sz val="10"/>
        <rFont val="Arial"/>
        <family val="2"/>
      </rPr>
      <t>) titres</t>
    </r>
  </si>
  <si>
    <t>Quantité initiale</t>
  </si>
  <si>
    <t>Quantité finale</t>
  </si>
  <si>
    <t>Exam terminal  IAE M2 SIAD  20019-2020   Analyse Financière des Risques  AFH</t>
  </si>
  <si>
    <t>Exo 1</t>
  </si>
  <si>
    <t xml:space="preserve">Sur un marché,  on observe un Call au prix de 2,2064€ (prix d’exercice E = 24,00€) et un Put de mêmes </t>
  </si>
  <si>
    <t xml:space="preserve">caractéristiques dont la valeur est la moitié de celle du Call : taux d’intérêt 3,0% par an, volatilité 30,0% </t>
  </si>
  <si>
    <t>par an, maturité 0,30 an.</t>
  </si>
  <si>
    <t xml:space="preserve">        </t>
  </si>
  <si>
    <r>
      <t>Q1</t>
    </r>
    <r>
      <rPr>
        <sz val="11"/>
        <color theme="1"/>
        <rFont val="Times New Roman"/>
        <family val="1"/>
      </rPr>
      <t> : Déterminer le prix du sous-jacent (S = ?) ?</t>
    </r>
  </si>
  <si>
    <r>
      <t>Q2</t>
    </r>
    <r>
      <rPr>
        <sz val="11"/>
        <color theme="1"/>
        <rFont val="Times New Roman"/>
        <family val="1"/>
      </rPr>
      <t> : Si la volatilité passe à 26% et le sous-jacent augmente de 3,00€, quelle sera la nouvelle valeur du Put ?</t>
    </r>
  </si>
  <si>
    <t>Relation de parité Put-Call ==&gt;</t>
  </si>
  <si>
    <r>
      <t>P = C - S + E e</t>
    </r>
    <r>
      <rPr>
        <vertAlign val="superscript"/>
        <sz val="11"/>
        <color theme="1"/>
        <rFont val="Calibri"/>
        <family val="2"/>
        <scheme val="minor"/>
      </rPr>
      <t>-r</t>
    </r>
    <r>
      <rPr>
        <vertAlign val="superscript"/>
        <sz val="11"/>
        <color theme="1"/>
        <rFont val="Calibri"/>
        <family val="2"/>
      </rPr>
      <t>τ</t>
    </r>
  </si>
  <si>
    <r>
      <t>S =  C - P + E e</t>
    </r>
    <r>
      <rPr>
        <vertAlign val="superscript"/>
        <sz val="11"/>
        <color theme="1"/>
        <rFont val="Calibri"/>
        <family val="2"/>
        <scheme val="minor"/>
      </rPr>
      <t>-rτ</t>
    </r>
  </si>
  <si>
    <r>
      <t>2,2064 - 2,2064/2 + 24 x e</t>
    </r>
    <r>
      <rPr>
        <vertAlign val="superscript"/>
        <sz val="11"/>
        <color theme="1"/>
        <rFont val="Calibri"/>
        <family val="2"/>
        <scheme val="minor"/>
      </rPr>
      <t>-3%x0,30</t>
    </r>
  </si>
  <si>
    <t>S =</t>
  </si>
  <si>
    <t xml:space="preserve">dC = </t>
  </si>
  <si>
    <t>dσ =</t>
  </si>
  <si>
    <t>dS =</t>
  </si>
  <si>
    <r>
      <t>Δ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</rPr>
      <t xml:space="preserve"> dS + 1/2 Γ</t>
    </r>
    <r>
      <rPr>
        <b/>
        <vertAlign val="subscript"/>
        <sz val="11"/>
        <color theme="1"/>
        <rFont val="Calibri"/>
        <family val="2"/>
      </rPr>
      <t>C</t>
    </r>
    <r>
      <rPr>
        <b/>
        <sz val="11"/>
        <color theme="1"/>
        <rFont val="Calibri"/>
        <family val="2"/>
      </rPr>
      <t>dS² + Vdσ</t>
    </r>
  </si>
  <si>
    <t>Avant</t>
  </si>
  <si>
    <t>Après</t>
  </si>
  <si>
    <t>C' =</t>
  </si>
  <si>
    <t xml:space="preserve"> avec les nouveaux paramètres (à droite)</t>
  </si>
  <si>
    <t>Variation</t>
  </si>
  <si>
    <t>Vous disposez des informations suivantes (qui ont été vérifiées et sont conformes au modèle Black-Scholes)</t>
  </si>
  <si>
    <t>Exo 3</t>
  </si>
  <si>
    <t>2 possibilités</t>
  </si>
  <si>
    <t>1) Il faut calculer delta, gamma et Vega</t>
  </si>
  <si>
    <t>2) il faut calculer le Call</t>
  </si>
  <si>
    <t>Exo 2</t>
  </si>
  <si>
    <t>A Londres, on constate les taux de change au comptant  suivants :</t>
  </si>
  <si>
    <r>
      <t>Q</t>
    </r>
    <r>
      <rPr>
        <sz val="11"/>
        <color theme="1"/>
        <rFont val="Times New Roman"/>
        <family val="1"/>
      </rPr>
      <t>3 : Donner le change spot pour CHF-GBP en MID ?</t>
    </r>
  </si>
  <si>
    <t>CHF-CNY</t>
  </si>
  <si>
    <t>GBP-EUR</t>
  </si>
  <si>
    <t>CHF-USD</t>
  </si>
  <si>
    <t>CNY-EUR</t>
  </si>
  <si>
    <t>USD-GBP</t>
  </si>
  <si>
    <t>GBP-CHF</t>
  </si>
  <si>
    <t>Tx(CHF)</t>
  </si>
  <si>
    <t>Tx(USD)</t>
  </si>
  <si>
    <t>Tx(CNY)</t>
  </si>
  <si>
    <t>Tx(EUR)</t>
  </si>
  <si>
    <t>Tx(GBP)</t>
  </si>
  <si>
    <t>Chemin N°1</t>
  </si>
  <si>
    <t>CHF --&gt; CNY --&gt; EUR --&gt; GBP</t>
  </si>
  <si>
    <t>Chemin N°2</t>
  </si>
  <si>
    <t>CHF --&gt; GBP</t>
  </si>
  <si>
    <t>Chemin N°3</t>
  </si>
  <si>
    <t>CHF --&gt; USD --&gt; GBP</t>
  </si>
  <si>
    <r>
      <t>Q4</t>
    </r>
    <r>
      <rPr>
        <sz val="11"/>
        <color theme="1"/>
        <rFont val="Times New Roman"/>
        <family val="1"/>
      </rPr>
      <t> : Quel est le maximum de francs suisses  que l’on peut  obtenir avec 4 millions de livres sterling ?</t>
    </r>
  </si>
  <si>
    <t>Stock de £</t>
  </si>
  <si>
    <t>Change en CHF</t>
  </si>
  <si>
    <t>Chemin</t>
  </si>
  <si>
    <t>n°1</t>
  </si>
  <si>
    <t>N°2</t>
  </si>
  <si>
    <t>N°3</t>
  </si>
  <si>
    <t>meilleure solution car plus rentable pour acheter de la livre</t>
  </si>
  <si>
    <t>Q5</t>
  </si>
  <si>
    <r>
      <t>Q</t>
    </r>
    <r>
      <rPr>
        <sz val="11"/>
        <color theme="1"/>
        <rFont val="Times New Roman"/>
        <family val="1"/>
      </rPr>
      <t>5 : Donner le change fwd (3 mois) pour CHF-GBP en MID ?</t>
    </r>
  </si>
  <si>
    <t>Taux à 3 mois</t>
  </si>
  <si>
    <t>CHF-GBP Fwd 3 mth</t>
  </si>
  <si>
    <t xml:space="preserve">      Spot * [ (1 + txGBP/4) / (1 + TxCHF/4) ]</t>
  </si>
  <si>
    <t>Q6</t>
  </si>
  <si>
    <t>Fournir le delta, gamma et véga pour les 3 options</t>
  </si>
  <si>
    <t>Q7</t>
  </si>
  <si>
    <t>Comment rendre le portefeuille 1  delta-gamma neutre en utilisant le Put C ?</t>
  </si>
  <si>
    <t>Q8</t>
  </si>
  <si>
    <r>
      <t xml:space="preserve">La société souhaite connaitre son exposition globale (pour les 3 portefeuilles en Δ et </t>
    </r>
    <r>
      <rPr>
        <sz val="11"/>
        <color theme="1"/>
        <rFont val="Calibri"/>
        <family val="2"/>
        <scheme val="minor"/>
      </rPr>
      <t>Γ</t>
    </r>
    <r>
      <rPr>
        <sz val="11"/>
        <color theme="1"/>
        <rFont val="Times New Roman"/>
        <family val="1"/>
      </rPr>
      <t xml:space="preserve"> neutres) au regard de la volatilité. Déterminer son Vega</t>
    </r>
  </si>
  <si>
    <r>
      <rPr>
        <b/>
        <sz val="10"/>
        <rFont val="Calibri"/>
        <family val="2"/>
      </rPr>
      <t>∑ des</t>
    </r>
    <r>
      <rPr>
        <b/>
        <sz val="10"/>
        <rFont val="Arial"/>
        <family val="2"/>
      </rPr>
      <t xml:space="preserve"> 3 Portefeuilles</t>
    </r>
  </si>
  <si>
    <t>Somme des quantités détenues pour les 3 portefeuilles</t>
  </si>
  <si>
    <t>Calcul des grecs</t>
  </si>
  <si>
    <t xml:space="preserve">Le Vega est égal à 0 ! </t>
  </si>
  <si>
    <t>Exo 4</t>
  </si>
  <si>
    <t xml:space="preserve">Q9 : Donner le montant à payer (&lt;0) ou à recevoir (&gt;0) pour une entreprise ayant acheté un FRA de 1 an dans 2 ans sur </t>
  </si>
  <si>
    <t xml:space="preserve">       Euribor au taux de 1,90% (taux garanti pour un nominal de 20M€) si, à l’issue de la période d’attente, le taux Euribor </t>
  </si>
  <si>
    <t xml:space="preserve">      observé est de 2,10% ?</t>
  </si>
  <si>
    <t>Q9</t>
  </si>
  <si>
    <t>Nominal</t>
  </si>
  <si>
    <t>Tx Ref</t>
  </si>
  <si>
    <t>Tx Fra</t>
  </si>
  <si>
    <t>durée</t>
  </si>
  <si>
    <t>Paiement</t>
  </si>
  <si>
    <t>La banque verse ce montant à l'entreprise car le Tx Euribor observé en t=2 est supérieur au tx Fra garanti par la banque</t>
  </si>
  <si>
    <t>Q10</t>
  </si>
  <si>
    <r>
      <t xml:space="preserve">Q10 : </t>
    </r>
    <r>
      <rPr>
        <sz val="11"/>
        <color theme="1"/>
        <rFont val="Times New Roman"/>
        <family val="1"/>
      </rPr>
      <t xml:space="preserve">Un achat à terme d’une action est fixé à un horizon de 7 mois au prix de K€. Le prix spot est de 400€ et le dividende attendu dans 4 mois est estimé  à 28€. </t>
    </r>
  </si>
  <si>
    <t xml:space="preserve">          Les taux Euribor sont de 2,3% à 4 mois et de 2,7% à 7 mois. Donner le prix à terme.</t>
  </si>
  <si>
    <t>Prix Forward (K) =</t>
  </si>
  <si>
    <t>Prix Spot (S)</t>
  </si>
  <si>
    <t>Dividende</t>
  </si>
  <si>
    <t>Tx Euribor 4 mois</t>
  </si>
  <si>
    <t>Tx Euribor 7 mois</t>
  </si>
  <si>
    <r>
      <t>F = [ Spot - Dividende/(1 + Tx 4 mois)</t>
    </r>
    <r>
      <rPr>
        <vertAlign val="superscript"/>
        <sz val="11"/>
        <color theme="1"/>
        <rFont val="Calibri"/>
        <family val="2"/>
        <scheme val="minor"/>
      </rPr>
      <t>4/12</t>
    </r>
    <r>
      <rPr>
        <sz val="11"/>
        <color theme="1"/>
        <rFont val="Calibri"/>
        <family val="2"/>
        <scheme val="minor"/>
      </rPr>
      <t xml:space="preserve"> ] * (1 + tx 7 mois)</t>
    </r>
    <r>
      <rPr>
        <vertAlign val="superscript"/>
        <sz val="11"/>
        <color theme="1"/>
        <rFont val="Calibri"/>
        <family val="2"/>
        <scheme val="minor"/>
      </rPr>
      <t>7/12</t>
    </r>
  </si>
  <si>
    <t>P' =</t>
  </si>
  <si>
    <t>CALL</t>
  </si>
  <si>
    <t>PUT</t>
  </si>
  <si>
    <t>Copie</t>
  </si>
  <si>
    <t>Note</t>
  </si>
  <si>
    <t>Q01</t>
  </si>
  <si>
    <t>Q02</t>
  </si>
  <si>
    <t>Q03</t>
  </si>
  <si>
    <t>Q04</t>
  </si>
  <si>
    <t>Q05</t>
  </si>
  <si>
    <t>Q06</t>
  </si>
  <si>
    <t>Q07</t>
  </si>
  <si>
    <t>Q08</t>
  </si>
  <si>
    <t>Q09</t>
  </si>
  <si>
    <t>Moyenne</t>
  </si>
  <si>
    <t>Ecart type</t>
  </si>
  <si>
    <t>Médiane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</si>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</sst>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vertAlign val="subscript"/>
      <sz val="10"/>
      <name val="Calibri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Fill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0" borderId="0" xfId="0" applyNumberFormat="1"/>
    <xf numFmtId="0" fontId="2" fillId="4" borderId="4" xfId="0" applyFon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1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2" xfId="0" applyFont="1" applyFill="1" applyBorder="1"/>
    <xf numFmtId="1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2" fillId="4" borderId="0" xfId="0" applyFont="1" applyFill="1" applyBorder="1"/>
    <xf numFmtId="0" fontId="0" fillId="4" borderId="0" xfId="0" applyFill="1"/>
    <xf numFmtId="0" fontId="3" fillId="0" borderId="4" xfId="0" applyFont="1" applyBorder="1"/>
    <xf numFmtId="0" fontId="3" fillId="5" borderId="4" xfId="0" applyFont="1" applyFill="1" applyBorder="1"/>
    <xf numFmtId="0" fontId="2" fillId="5" borderId="4" xfId="0" applyFont="1" applyFill="1" applyBorder="1"/>
    <xf numFmtId="164" fontId="4" fillId="8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2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quotePrefix="1" applyFill="1" applyBorder="1"/>
    <xf numFmtId="2" fontId="1" fillId="0" borderId="0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2" fontId="1" fillId="9" borderId="3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2" fontId="0" fillId="0" borderId="28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Border="1"/>
    <xf numFmtId="9" fontId="0" fillId="0" borderId="0" xfId="0" applyNumberFormat="1" applyAlignment="1">
      <alignment horizontal="center"/>
    </xf>
    <xf numFmtId="0" fontId="10" fillId="9" borderId="1" xfId="0" applyFont="1" applyFill="1" applyBorder="1" applyAlignment="1">
      <alignment horizontal="center"/>
    </xf>
    <xf numFmtId="10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165" fontId="1" fillId="9" borderId="10" xfId="0" applyNumberFormat="1" applyFont="1" applyFill="1" applyBorder="1"/>
    <xf numFmtId="3" fontId="0" fillId="0" borderId="0" xfId="0" applyNumberFormat="1"/>
    <xf numFmtId="3" fontId="1" fillId="9" borderId="10" xfId="0" applyNumberFormat="1" applyFont="1" applyFill="1" applyBorder="1"/>
    <xf numFmtId="1" fontId="16" fillId="0" borderId="0" xfId="0" applyNumberFormat="1" applyFont="1"/>
    <xf numFmtId="0" fontId="1" fillId="9" borderId="1" xfId="0" applyFont="1" applyFill="1" applyBorder="1"/>
    <xf numFmtId="165" fontId="1" fillId="9" borderId="3" xfId="0" applyNumberFormat="1" applyFont="1" applyFill="1" applyBorder="1" applyAlignment="1">
      <alignment horizontal="center"/>
    </xf>
    <xf numFmtId="0" fontId="0" fillId="0" borderId="0" xfId="0" quotePrefix="1"/>
    <xf numFmtId="0" fontId="11" fillId="0" borderId="0" xfId="0" applyFont="1"/>
    <xf numFmtId="0" fontId="2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3" fontId="17" fillId="0" borderId="0" xfId="0" applyNumberFormat="1" applyFont="1"/>
    <xf numFmtId="3" fontId="1" fillId="9" borderId="10" xfId="0" applyNumberFormat="1" applyFont="1" applyFill="1" applyBorder="1" applyAlignment="1">
      <alignment horizontal="center"/>
    </xf>
    <xf numFmtId="2" fontId="1" fillId="9" borderId="10" xfId="0" applyNumberFormat="1" applyFont="1" applyFill="1" applyBorder="1" applyAlignment="1">
      <alignment horizontal="center"/>
    </xf>
    <xf numFmtId="164" fontId="1" fillId="9" borderId="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1" fillId="9" borderId="3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116</xdr:row>
      <xdr:rowOff>0</xdr:rowOff>
    </xdr:from>
    <xdr:to>
      <xdr:col>8</xdr:col>
      <xdr:colOff>464820</xdr:colOff>
      <xdr:row>121</xdr:row>
      <xdr:rowOff>71067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21579840"/>
          <a:ext cx="3657600" cy="985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sqref="A1:XFD1"/>
    </sheetView>
  </sheetViews>
  <sheetFormatPr baseColWidth="10" defaultRowHeight="14.4" x14ac:dyDescent="0.3"/>
  <cols>
    <col min="1" max="1" width="8" customWidth="1"/>
    <col min="2" max="2" width="17.88671875" customWidth="1"/>
    <col min="3" max="3" width="9.44140625" customWidth="1"/>
    <col min="4" max="5" width="8.44140625" customWidth="1"/>
    <col min="6" max="6" width="9.5546875" customWidth="1"/>
    <col min="7" max="7" width="5.21875" customWidth="1"/>
    <col min="8" max="8" width="46.5546875" customWidth="1"/>
  </cols>
  <sheetData>
    <row r="1" spans="1:14" ht="15" thickBot="1" x14ac:dyDescent="0.35">
      <c r="A1" s="1" t="s">
        <v>40</v>
      </c>
      <c r="B1" s="2"/>
      <c r="C1" s="2"/>
      <c r="D1" s="2"/>
      <c r="E1" s="2"/>
      <c r="F1" s="2"/>
      <c r="G1" s="2"/>
      <c r="H1" s="3"/>
    </row>
    <row r="2" spans="1:14" x14ac:dyDescent="0.3">
      <c r="A2" s="71"/>
      <c r="B2" s="72"/>
      <c r="C2" s="72"/>
      <c r="D2" s="72"/>
      <c r="E2" s="72"/>
      <c r="F2" s="72"/>
      <c r="G2" s="72"/>
      <c r="H2" s="72"/>
      <c r="I2" s="73"/>
      <c r="J2" s="73"/>
    </row>
    <row r="3" spans="1:14" ht="15" thickBot="1" x14ac:dyDescent="0.35">
      <c r="A3" s="71" t="s">
        <v>41</v>
      </c>
      <c r="B3" s="74" t="s">
        <v>42</v>
      </c>
      <c r="D3" s="72"/>
      <c r="E3" s="72"/>
      <c r="F3" s="72"/>
      <c r="G3" s="72"/>
      <c r="H3" s="72"/>
      <c r="I3" s="73"/>
      <c r="J3" s="94" t="s">
        <v>57</v>
      </c>
      <c r="K3" s="70" t="s">
        <v>58</v>
      </c>
      <c r="L3" s="70" t="s">
        <v>61</v>
      </c>
    </row>
    <row r="4" spans="1:14" x14ac:dyDescent="0.3">
      <c r="A4" s="71"/>
      <c r="B4" s="74" t="s">
        <v>43</v>
      </c>
      <c r="D4" s="72"/>
      <c r="E4" s="72"/>
      <c r="F4" s="72"/>
      <c r="G4" s="72"/>
      <c r="H4" s="72"/>
      <c r="I4" s="85" t="s">
        <v>4</v>
      </c>
      <c r="J4" s="86">
        <f>24.89</f>
        <v>24.89</v>
      </c>
      <c r="K4" s="87">
        <f>27.89</f>
        <v>27.89</v>
      </c>
      <c r="L4" s="69">
        <f>K4-J4</f>
        <v>3</v>
      </c>
    </row>
    <row r="5" spans="1:14" x14ac:dyDescent="0.3">
      <c r="A5" s="71"/>
      <c r="B5" s="74" t="s">
        <v>44</v>
      </c>
      <c r="D5" s="72"/>
      <c r="E5" s="72"/>
      <c r="F5" s="72"/>
      <c r="G5" s="72"/>
      <c r="H5" s="72"/>
      <c r="I5" s="88" t="s">
        <v>5</v>
      </c>
      <c r="J5" s="84">
        <v>24</v>
      </c>
      <c r="K5" s="89">
        <v>24</v>
      </c>
      <c r="L5" s="24"/>
    </row>
    <row r="6" spans="1:14" ht="15" thickBot="1" x14ac:dyDescent="0.35">
      <c r="A6" s="71"/>
      <c r="B6" s="74" t="s">
        <v>45</v>
      </c>
      <c r="D6" s="72"/>
      <c r="E6" s="72"/>
      <c r="F6" s="72"/>
      <c r="G6" s="72"/>
      <c r="H6" s="72"/>
      <c r="I6" s="88" t="s">
        <v>6</v>
      </c>
      <c r="J6" s="8">
        <v>0.03</v>
      </c>
      <c r="K6" s="90">
        <v>0.03</v>
      </c>
      <c r="L6" s="24"/>
    </row>
    <row r="7" spans="1:14" ht="15" thickBot="1" x14ac:dyDescent="0.35">
      <c r="A7" s="14" t="s">
        <v>15</v>
      </c>
      <c r="B7" s="75" t="s">
        <v>46</v>
      </c>
      <c r="D7" s="72"/>
      <c r="E7" s="72"/>
      <c r="F7" s="72"/>
      <c r="G7" s="72"/>
      <c r="H7" s="72"/>
      <c r="I7" s="88" t="s">
        <v>7</v>
      </c>
      <c r="J7" s="8">
        <v>0.3</v>
      </c>
      <c r="K7" s="90">
        <v>0.26</v>
      </c>
      <c r="L7" s="96">
        <f>K7-J7</f>
        <v>-3.999999999999998E-2</v>
      </c>
    </row>
    <row r="8" spans="1:14" ht="15" thickBot="1" x14ac:dyDescent="0.35">
      <c r="A8" s="71"/>
      <c r="D8" s="72"/>
      <c r="E8" s="72"/>
      <c r="F8" s="72"/>
      <c r="G8" s="72"/>
      <c r="H8" s="72"/>
      <c r="I8" s="91" t="s">
        <v>8</v>
      </c>
      <c r="J8" s="92">
        <v>0.3</v>
      </c>
      <c r="K8" s="93">
        <v>0.3</v>
      </c>
      <c r="L8" s="24"/>
    </row>
    <row r="9" spans="1:14" ht="16.2" x14ac:dyDescent="0.3">
      <c r="A9" s="71"/>
      <c r="B9" s="76" t="s">
        <v>48</v>
      </c>
      <c r="C9" s="72"/>
      <c r="D9" s="72" t="s">
        <v>49</v>
      </c>
      <c r="E9" s="72"/>
      <c r="G9" s="72"/>
      <c r="H9" s="72"/>
      <c r="I9" s="73"/>
      <c r="J9" s="11"/>
      <c r="K9" s="11"/>
    </row>
    <row r="10" spans="1:14" ht="16.2" x14ac:dyDescent="0.3">
      <c r="A10" s="71"/>
      <c r="B10" s="72"/>
      <c r="C10" s="72"/>
      <c r="D10" s="72" t="s">
        <v>50</v>
      </c>
      <c r="E10" s="72"/>
      <c r="F10" s="72"/>
      <c r="G10" s="72"/>
      <c r="H10" s="72"/>
      <c r="I10" s="12" t="s">
        <v>9</v>
      </c>
      <c r="J10" s="13">
        <f>(LN(J4/J5)+(J6+J7*J7/2)*J8)/(J7*SQRT(J8))</f>
        <v>0.35852875526310224</v>
      </c>
      <c r="K10" s="13">
        <f>(LN(K4/K5)+(K6+K7*K7/2)*K8)/(K7*SQRT(K8))</f>
        <v>1.1892206329286352</v>
      </c>
    </row>
    <row r="11" spans="1:14" ht="16.8" thickBot="1" x14ac:dyDescent="0.35">
      <c r="A11" s="71"/>
      <c r="B11" s="72"/>
      <c r="C11" s="72"/>
      <c r="D11" s="77" t="s">
        <v>51</v>
      </c>
      <c r="E11" s="72"/>
      <c r="F11" s="72"/>
      <c r="G11" s="72"/>
      <c r="H11" s="72"/>
      <c r="I11" s="12" t="s">
        <v>10</v>
      </c>
      <c r="J11" s="13">
        <f>J10-J7*SQRT(J8)</f>
        <v>0.19421198801155243</v>
      </c>
      <c r="K11" s="13">
        <f>K10-K7*SQRT(K8)</f>
        <v>1.0468127679772921</v>
      </c>
    </row>
    <row r="12" spans="1:14" ht="15" thickBot="1" x14ac:dyDescent="0.35">
      <c r="A12" s="71"/>
      <c r="B12" s="72"/>
      <c r="C12" s="79" t="s">
        <v>52</v>
      </c>
      <c r="D12" s="80">
        <f>2.2064/2+24*EXP(-3%*0.3)</f>
        <v>24.888169090549209</v>
      </c>
      <c r="E12" s="72"/>
      <c r="F12" s="72"/>
      <c r="G12" s="72"/>
      <c r="H12" s="72"/>
      <c r="I12" s="12" t="s">
        <v>11</v>
      </c>
      <c r="J12" s="13">
        <f t="shared" ref="J12:K12" si="0">NORMDIST(J10,0,1,FALSE)</f>
        <v>0.3741082939817571</v>
      </c>
      <c r="K12" s="13">
        <f t="shared" si="0"/>
        <v>0.19670278597838151</v>
      </c>
    </row>
    <row r="13" spans="1:14" ht="15" thickBot="1" x14ac:dyDescent="0.35">
      <c r="A13" s="71"/>
      <c r="B13" s="72"/>
      <c r="C13" s="72"/>
      <c r="D13" s="72"/>
      <c r="E13" s="72"/>
      <c r="F13" s="72"/>
      <c r="G13" s="72"/>
      <c r="H13" s="72"/>
      <c r="I13" s="12" t="s">
        <v>12</v>
      </c>
      <c r="J13" s="13">
        <f t="shared" ref="J13:K13" si="1">NORMDIST(J11,0,1,FALSE)</f>
        <v>0.39148907033500485</v>
      </c>
      <c r="K13" s="13">
        <f t="shared" si="1"/>
        <v>0.23065157999792821</v>
      </c>
    </row>
    <row r="14" spans="1:14" ht="15" thickBot="1" x14ac:dyDescent="0.35">
      <c r="A14" s="14" t="s">
        <v>25</v>
      </c>
      <c r="B14" s="75" t="s">
        <v>47</v>
      </c>
      <c r="C14" s="72"/>
      <c r="D14" s="72"/>
      <c r="E14" s="72"/>
      <c r="F14" s="72"/>
      <c r="G14" s="72"/>
      <c r="H14" s="72"/>
      <c r="I14" s="45" t="s">
        <v>13</v>
      </c>
      <c r="J14" s="46">
        <f t="shared" ref="J14:K14" si="2">NORMDIST(J10,0,1,TRUE)</f>
        <v>0.64002617369715853</v>
      </c>
      <c r="K14" s="46">
        <f t="shared" si="2"/>
        <v>0.88282357134016221</v>
      </c>
    </row>
    <row r="15" spans="1:14" ht="15" thickBot="1" x14ac:dyDescent="0.35">
      <c r="A15" s="71"/>
      <c r="B15" s="72"/>
      <c r="C15" s="81" t="s">
        <v>54</v>
      </c>
      <c r="D15" s="82">
        <v>-0.04</v>
      </c>
      <c r="E15" s="72"/>
      <c r="F15" s="72"/>
      <c r="G15" s="72"/>
      <c r="H15" s="71" t="s">
        <v>64</v>
      </c>
      <c r="I15" s="45" t="s">
        <v>14</v>
      </c>
      <c r="J15" s="46">
        <f t="shared" ref="J15:K15" si="3">NORMDIST(J11,0,1,TRUE)</f>
        <v>0.57699505174577992</v>
      </c>
      <c r="K15" s="46">
        <f t="shared" si="3"/>
        <v>0.85240702977466032</v>
      </c>
    </row>
    <row r="16" spans="1:14" ht="15" thickBot="1" x14ac:dyDescent="0.35">
      <c r="A16" s="71"/>
      <c r="B16" s="72"/>
      <c r="C16" s="81" t="s">
        <v>55</v>
      </c>
      <c r="D16" s="78">
        <v>3</v>
      </c>
      <c r="E16" s="72"/>
      <c r="F16" s="72"/>
      <c r="G16" s="72"/>
      <c r="J16" s="123" t="s">
        <v>131</v>
      </c>
      <c r="K16" s="124"/>
      <c r="M16" s="123" t="s">
        <v>132</v>
      </c>
      <c r="N16" s="124"/>
    </row>
    <row r="17" spans="1:14" ht="15.6" x14ac:dyDescent="0.35">
      <c r="A17" s="71"/>
      <c r="B17" s="72"/>
      <c r="C17" s="81" t="s">
        <v>53</v>
      </c>
      <c r="D17" s="83" t="s">
        <v>56</v>
      </c>
      <c r="E17" s="72"/>
      <c r="F17" s="72"/>
      <c r="G17" s="72"/>
      <c r="H17" s="95" t="s">
        <v>65</v>
      </c>
      <c r="I17" s="15" t="s">
        <v>16</v>
      </c>
      <c r="J17" s="136">
        <f>J4*J14-J5*EXP(-J6*J8)*J15</f>
        <v>2.2064419921490614</v>
      </c>
      <c r="K17" s="136">
        <f>K4*K14-K5*EXP(-K6*K8)*K15</f>
        <v>4.3474745489199726</v>
      </c>
      <c r="L17" s="69">
        <f>K17-J17</f>
        <v>2.1410325567709112</v>
      </c>
      <c r="M17" s="136">
        <f>J5*EXP(-J6*J8)*NORMDIST(-J11,0,1,TRUE)-J4*NORMDIST(-J10,0,1,TRUE)</f>
        <v>1.1014110826982684</v>
      </c>
      <c r="N17" s="136">
        <f>K5*EXP(-K6*K8)*NORMDIST(-K11,0,1,TRUE)-K4*NORMDIST(-K10,0,1,TRUE)</f>
        <v>0.24244363946917824</v>
      </c>
    </row>
    <row r="18" spans="1:14" ht="15" thickBot="1" x14ac:dyDescent="0.35">
      <c r="A18" s="71"/>
      <c r="B18" s="72"/>
      <c r="C18" s="81" t="s">
        <v>53</v>
      </c>
      <c r="D18" s="78">
        <f>J18*D16+J19*D16*D16/2+J20*D15</f>
        <v>2.1276988214200649</v>
      </c>
      <c r="E18" s="72"/>
      <c r="F18" s="72"/>
      <c r="G18" s="72"/>
      <c r="H18" s="72"/>
      <c r="I18" s="18" t="s">
        <v>17</v>
      </c>
      <c r="J18" s="19">
        <f>J14</f>
        <v>0.64002617369715853</v>
      </c>
      <c r="K18" s="19">
        <f>K14</f>
        <v>0.88282357134016221</v>
      </c>
      <c r="M18" s="19">
        <f>J18-1</f>
        <v>-0.35997382630284147</v>
      </c>
      <c r="N18" s="19">
        <f>K18-1</f>
        <v>-0.11717642865983779</v>
      </c>
    </row>
    <row r="19" spans="1:14" ht="15" thickBot="1" x14ac:dyDescent="0.35">
      <c r="A19" s="71"/>
      <c r="B19" s="72"/>
      <c r="C19" s="97" t="s">
        <v>59</v>
      </c>
      <c r="D19" s="80">
        <f>2.21 +D18</f>
        <v>4.3376988214200649</v>
      </c>
      <c r="E19" s="72"/>
      <c r="F19" s="72"/>
      <c r="G19" s="72"/>
      <c r="H19" s="95" t="s">
        <v>66</v>
      </c>
      <c r="I19" s="21" t="s">
        <v>18</v>
      </c>
      <c r="J19" s="22">
        <f>J12/(J4*J7*SQRT(J8))</f>
        <v>9.1472501925620522E-2</v>
      </c>
      <c r="K19" s="22">
        <f>K12/(K4*K7*SQRT(K8))</f>
        <v>4.9525403372438631E-2</v>
      </c>
      <c r="M19" s="22">
        <f>J12/(J4*J7*SQRT(J8))</f>
        <v>9.1472501925620522E-2</v>
      </c>
      <c r="N19" s="22">
        <f>K12/(K4*K7*SQRT(K8))</f>
        <v>4.9525403372438631E-2</v>
      </c>
    </row>
    <row r="20" spans="1:14" ht="15" thickBot="1" x14ac:dyDescent="0.35">
      <c r="A20" s="71"/>
      <c r="B20" s="72"/>
      <c r="C20" s="97" t="s">
        <v>130</v>
      </c>
      <c r="D20" s="137">
        <f>D19-(D12+3)+24*EXP(-3%*0.3)</f>
        <v>0.23449882142006473</v>
      </c>
      <c r="E20" s="72"/>
      <c r="F20" s="72"/>
      <c r="G20" s="72"/>
      <c r="H20" s="95" t="s">
        <v>60</v>
      </c>
      <c r="I20" s="21" t="s">
        <v>19</v>
      </c>
      <c r="J20" s="23">
        <f>J12*J4*SQRT(J8)</f>
        <v>5.1001489584175692</v>
      </c>
      <c r="K20" s="23">
        <f>K12*K4*SQRT(K8)</f>
        <v>3.0048282432946807</v>
      </c>
      <c r="M20" s="23">
        <f>J12*J4*SQRT(J8)</f>
        <v>5.1001489584175692</v>
      </c>
      <c r="N20" s="23">
        <f>K12*K4*SQRT(K8)</f>
        <v>3.0048282432946807</v>
      </c>
    </row>
    <row r="23" spans="1:14" ht="15" thickBot="1" x14ac:dyDescent="0.35">
      <c r="A23" s="71" t="s">
        <v>67</v>
      </c>
      <c r="B23" s="74" t="s">
        <v>68</v>
      </c>
    </row>
    <row r="24" spans="1:14" ht="15" thickBot="1" x14ac:dyDescent="0.35">
      <c r="B24" t="s">
        <v>70</v>
      </c>
      <c r="C24" s="99">
        <v>7.1360000000000001</v>
      </c>
      <c r="E24" s="123" t="s">
        <v>97</v>
      </c>
      <c r="F24" s="124"/>
    </row>
    <row r="25" spans="1:14" x14ac:dyDescent="0.3">
      <c r="B25" t="s">
        <v>71</v>
      </c>
      <c r="C25" s="99">
        <v>1.1579999999999999</v>
      </c>
      <c r="E25" t="s">
        <v>76</v>
      </c>
      <c r="F25" s="98">
        <v>0.02</v>
      </c>
    </row>
    <row r="26" spans="1:14" x14ac:dyDescent="0.3">
      <c r="B26" t="s">
        <v>72</v>
      </c>
      <c r="C26" s="100">
        <v>1.014</v>
      </c>
      <c r="E26" t="s">
        <v>77</v>
      </c>
      <c r="F26" s="98">
        <v>1.6E-2</v>
      </c>
    </row>
    <row r="27" spans="1:14" x14ac:dyDescent="0.3">
      <c r="B27" t="s">
        <v>73</v>
      </c>
      <c r="C27" s="99">
        <v>0.127</v>
      </c>
      <c r="E27" t="s">
        <v>78</v>
      </c>
      <c r="F27" s="98">
        <v>4.4999999999999998E-2</v>
      </c>
    </row>
    <row r="28" spans="1:14" x14ac:dyDescent="0.3">
      <c r="B28" t="s">
        <v>74</v>
      </c>
      <c r="C28" s="100">
        <v>0.77300000000000002</v>
      </c>
      <c r="E28" t="s">
        <v>79</v>
      </c>
      <c r="F28" s="98">
        <v>1.2E-2</v>
      </c>
    </row>
    <row r="29" spans="1:14" x14ac:dyDescent="0.3">
      <c r="B29" t="s">
        <v>75</v>
      </c>
      <c r="C29" s="101">
        <v>1.2749999999999999</v>
      </c>
      <c r="E29" t="s">
        <v>80</v>
      </c>
      <c r="F29" s="98">
        <v>1.7999999999999999E-2</v>
      </c>
    </row>
    <row r="30" spans="1:14" ht="15" thickBot="1" x14ac:dyDescent="0.35"/>
    <row r="31" spans="1:14" ht="15" thickBot="1" x14ac:dyDescent="0.35">
      <c r="A31" s="14" t="s">
        <v>31</v>
      </c>
      <c r="B31" s="75" t="s">
        <v>69</v>
      </c>
    </row>
    <row r="33" spans="1:10" ht="15" thickBot="1" x14ac:dyDescent="0.35">
      <c r="B33" s="99" t="s">
        <v>81</v>
      </c>
      <c r="C33" t="s">
        <v>82</v>
      </c>
      <c r="F33" s="20">
        <f>C24*C27*(1/C25)</f>
        <v>0.78261830742659777</v>
      </c>
    </row>
    <row r="34" spans="1:10" ht="15" thickBot="1" x14ac:dyDescent="0.35">
      <c r="B34" s="101" t="s">
        <v>83</v>
      </c>
      <c r="C34" t="s">
        <v>84</v>
      </c>
      <c r="F34" s="102">
        <f>1/C29</f>
        <v>0.78431372549019618</v>
      </c>
      <c r="H34" t="s">
        <v>94</v>
      </c>
      <c r="J34">
        <f>1/F34</f>
        <v>1.2749999999999999</v>
      </c>
    </row>
    <row r="35" spans="1:10" x14ac:dyDescent="0.3">
      <c r="B35" s="100" t="s">
        <v>85</v>
      </c>
      <c r="C35" t="s">
        <v>86</v>
      </c>
      <c r="F35" s="20">
        <f>C26*C28</f>
        <v>0.78382200000000002</v>
      </c>
    </row>
    <row r="36" spans="1:10" ht="15" thickBot="1" x14ac:dyDescent="0.35">
      <c r="F36" s="20"/>
    </row>
    <row r="37" spans="1:10" ht="15" thickBot="1" x14ac:dyDescent="0.35">
      <c r="A37" s="14" t="s">
        <v>33</v>
      </c>
      <c r="B37" s="75" t="s">
        <v>87</v>
      </c>
      <c r="F37" s="20"/>
    </row>
    <row r="38" spans="1:10" x14ac:dyDescent="0.3">
      <c r="F38" s="20"/>
    </row>
    <row r="39" spans="1:10" x14ac:dyDescent="0.3">
      <c r="B39" t="s">
        <v>88</v>
      </c>
      <c r="C39" s="103">
        <v>4000000</v>
      </c>
      <c r="F39" s="20"/>
    </row>
    <row r="40" spans="1:10" x14ac:dyDescent="0.3">
      <c r="C40" s="103"/>
      <c r="F40" s="20"/>
    </row>
    <row r="41" spans="1:10" ht="15" thickBot="1" x14ac:dyDescent="0.35">
      <c r="B41" t="s">
        <v>90</v>
      </c>
      <c r="C41" s="70" t="s">
        <v>91</v>
      </c>
      <c r="D41" s="70" t="s">
        <v>92</v>
      </c>
      <c r="E41" s="70" t="s">
        <v>93</v>
      </c>
      <c r="F41" s="20"/>
    </row>
    <row r="42" spans="1:10" ht="15" thickBot="1" x14ac:dyDescent="0.35">
      <c r="B42" t="s">
        <v>89</v>
      </c>
      <c r="C42" s="104">
        <f>C39/F33</f>
        <v>5111048.3386886045</v>
      </c>
      <c r="D42">
        <f>C39/F34</f>
        <v>5099999.9999999991</v>
      </c>
      <c r="E42">
        <f>C39/F35</f>
        <v>5103199.4508957388</v>
      </c>
      <c r="F42" s="105"/>
    </row>
    <row r="43" spans="1:10" ht="15" thickBot="1" x14ac:dyDescent="0.35">
      <c r="F43" s="20"/>
    </row>
    <row r="44" spans="1:10" ht="15" thickBot="1" x14ac:dyDescent="0.35">
      <c r="A44" s="14" t="s">
        <v>95</v>
      </c>
      <c r="B44" s="75" t="s">
        <v>96</v>
      </c>
      <c r="F44" s="20"/>
    </row>
    <row r="45" spans="1:10" ht="15" thickBot="1" x14ac:dyDescent="0.35">
      <c r="F45" s="20"/>
    </row>
    <row r="46" spans="1:10" ht="15" thickBot="1" x14ac:dyDescent="0.35">
      <c r="B46" s="106" t="s">
        <v>98</v>
      </c>
      <c r="C46" s="107">
        <f>F34*((1+F29/4)/(1+F25/4))</f>
        <v>0.78392351965661899</v>
      </c>
      <c r="D46" s="108" t="s">
        <v>99</v>
      </c>
      <c r="F46" s="20"/>
    </row>
    <row r="47" spans="1:10" x14ac:dyDescent="0.3">
      <c r="F47" s="20"/>
    </row>
    <row r="48" spans="1:10" x14ac:dyDescent="0.3">
      <c r="A48" s="71" t="s">
        <v>63</v>
      </c>
      <c r="B48" s="74" t="s">
        <v>62</v>
      </c>
      <c r="G48" s="49"/>
    </row>
    <row r="49" spans="1:8" x14ac:dyDescent="0.3">
      <c r="B49" s="4" t="s">
        <v>0</v>
      </c>
      <c r="C49" s="44" t="s">
        <v>34</v>
      </c>
      <c r="D49" s="5" t="s">
        <v>1</v>
      </c>
      <c r="E49" s="5" t="s">
        <v>2</v>
      </c>
      <c r="F49" s="5" t="s">
        <v>3</v>
      </c>
      <c r="G49" s="50"/>
    </row>
    <row r="50" spans="1:8" x14ac:dyDescent="0.3">
      <c r="B50" s="6" t="s">
        <v>4</v>
      </c>
      <c r="C50" s="7">
        <v>146</v>
      </c>
      <c r="D50" s="7">
        <f>C50</f>
        <v>146</v>
      </c>
      <c r="E50" s="7">
        <f>C50</f>
        <v>146</v>
      </c>
      <c r="F50" s="7">
        <f>C50</f>
        <v>146</v>
      </c>
      <c r="G50" s="50"/>
    </row>
    <row r="51" spans="1:8" x14ac:dyDescent="0.3">
      <c r="B51" s="6" t="s">
        <v>5</v>
      </c>
      <c r="C51" s="6"/>
      <c r="D51" s="7">
        <v>135</v>
      </c>
      <c r="E51" s="7">
        <v>155</v>
      </c>
      <c r="F51" s="7">
        <v>155</v>
      </c>
      <c r="G51" s="51"/>
    </row>
    <row r="52" spans="1:8" x14ac:dyDescent="0.3">
      <c r="B52" s="6" t="s">
        <v>6</v>
      </c>
      <c r="C52" s="6"/>
      <c r="D52" s="8">
        <v>0.02</v>
      </c>
      <c r="E52" s="8">
        <f t="shared" ref="E52:F53" si="4">D52</f>
        <v>0.02</v>
      </c>
      <c r="F52" s="8">
        <f t="shared" si="4"/>
        <v>0.02</v>
      </c>
      <c r="G52" s="51"/>
    </row>
    <row r="53" spans="1:8" x14ac:dyDescent="0.3">
      <c r="B53" s="6" t="s">
        <v>7</v>
      </c>
      <c r="C53" s="6"/>
      <c r="D53" s="8">
        <v>0.24</v>
      </c>
      <c r="E53" s="8">
        <f t="shared" si="4"/>
        <v>0.24</v>
      </c>
      <c r="F53" s="8">
        <f t="shared" si="4"/>
        <v>0.24</v>
      </c>
      <c r="G53" s="50"/>
    </row>
    <row r="54" spans="1:8" x14ac:dyDescent="0.3">
      <c r="B54" s="9" t="s">
        <v>8</v>
      </c>
      <c r="C54" s="9"/>
      <c r="D54" s="10">
        <v>0.42</v>
      </c>
      <c r="E54" s="10">
        <f>D54</f>
        <v>0.42</v>
      </c>
      <c r="F54" s="10">
        <f>D54</f>
        <v>0.42</v>
      </c>
      <c r="G54" s="11"/>
    </row>
    <row r="56" spans="1:8" x14ac:dyDescent="0.3">
      <c r="B56" s="12" t="s">
        <v>9</v>
      </c>
      <c r="C56" s="12"/>
      <c r="D56" s="13">
        <f>(LN(D50/D51)+(D52+D53*D53/2)*D54)/(D53*SQRT(D54))</f>
        <v>0.63539447025313467</v>
      </c>
      <c r="E56" s="13">
        <f>(LN(E50/E51)+(E52+E53*E53/2)*E54)/(E53*SQRT(E54))</f>
        <v>-0.25281636416299014</v>
      </c>
      <c r="F56" s="13">
        <f>(LN(F50/F51)+(F52+F53*F53/2)*F54)/(F53*SQRT(F54))</f>
        <v>-0.25281636416299014</v>
      </c>
      <c r="G56" s="13"/>
      <c r="H56" s="13"/>
    </row>
    <row r="57" spans="1:8" x14ac:dyDescent="0.3">
      <c r="B57" s="12" t="s">
        <v>10</v>
      </c>
      <c r="C57" s="12"/>
      <c r="D57" s="13">
        <f>D56-D53*SQRT(D54)</f>
        <v>0.47985669349134608</v>
      </c>
      <c r="E57" s="13">
        <f>E56-E53*SQRT(E54)</f>
        <v>-0.40835414092477873</v>
      </c>
      <c r="F57" s="13">
        <f>F56-F53*SQRT(F54)</f>
        <v>-0.40835414092477873</v>
      </c>
      <c r="G57" s="13"/>
    </row>
    <row r="58" spans="1:8" x14ac:dyDescent="0.3">
      <c r="B58" s="12" t="s">
        <v>11</v>
      </c>
      <c r="C58" s="12"/>
      <c r="D58" s="13">
        <f t="shared" ref="D58:F59" si="5">NORMDIST(D56,0,1,FALSE)</f>
        <v>0.32601835366353243</v>
      </c>
      <c r="E58" s="13">
        <f t="shared" si="5"/>
        <v>0.38639443064240975</v>
      </c>
      <c r="F58" s="13">
        <f t="shared" si="5"/>
        <v>0.38639443064240975</v>
      </c>
      <c r="G58" s="13"/>
    </row>
    <row r="59" spans="1:8" x14ac:dyDescent="0.3">
      <c r="B59" s="12" t="s">
        <v>12</v>
      </c>
      <c r="C59" s="12"/>
      <c r="D59" s="13">
        <f t="shared" si="5"/>
        <v>0.3555569817563331</v>
      </c>
      <c r="E59" s="13">
        <f t="shared" si="5"/>
        <v>0.36702875393134726</v>
      </c>
      <c r="F59" s="13">
        <f t="shared" si="5"/>
        <v>0.36702875393134726</v>
      </c>
      <c r="G59" s="13"/>
    </row>
    <row r="60" spans="1:8" x14ac:dyDescent="0.3">
      <c r="B60" s="45" t="s">
        <v>13</v>
      </c>
      <c r="C60" s="45"/>
      <c r="D60" s="46">
        <f t="shared" ref="D60:F61" si="6">NORMDIST(D56,0,1,TRUE)</f>
        <v>0.73741441315839851</v>
      </c>
      <c r="E60" s="46">
        <f t="shared" si="6"/>
        <v>0.40020506081580487</v>
      </c>
      <c r="F60" s="46">
        <f t="shared" si="6"/>
        <v>0.40020506081580487</v>
      </c>
      <c r="G60" s="46"/>
      <c r="H60" s="47"/>
    </row>
    <row r="61" spans="1:8" x14ac:dyDescent="0.3">
      <c r="B61" s="45" t="s">
        <v>14</v>
      </c>
      <c r="C61" s="45"/>
      <c r="D61" s="46">
        <f t="shared" si="6"/>
        <v>0.68433535160618231</v>
      </c>
      <c r="E61" s="46">
        <f t="shared" si="6"/>
        <v>0.34150684815245291</v>
      </c>
      <c r="F61" s="46">
        <f t="shared" si="6"/>
        <v>0.34150684815245291</v>
      </c>
      <c r="G61" s="46"/>
      <c r="H61" s="47"/>
    </row>
    <row r="62" spans="1:8" ht="15" thickBot="1" x14ac:dyDescent="0.35">
      <c r="B62" s="45"/>
      <c r="C62" s="45"/>
      <c r="D62" s="46"/>
      <c r="E62" s="46"/>
      <c r="F62" s="46"/>
      <c r="G62" s="46"/>
      <c r="H62" s="47"/>
    </row>
    <row r="63" spans="1:8" ht="15" thickBot="1" x14ac:dyDescent="0.35">
      <c r="A63" s="14" t="s">
        <v>100</v>
      </c>
      <c r="B63" s="109" t="s">
        <v>101</v>
      </c>
      <c r="G63" s="13"/>
    </row>
    <row r="64" spans="1:8" x14ac:dyDescent="0.3">
      <c r="B64" s="15" t="s">
        <v>16</v>
      </c>
      <c r="C64" s="16">
        <f>C50</f>
        <v>146</v>
      </c>
      <c r="D64" s="17">
        <f>D50*D60-D51*EXP(-D52*D54)*D61</f>
        <v>16.050017897654271</v>
      </c>
      <c r="E64" s="17">
        <f>E50*E60-E51*EXP(-E52*E54)*E61</f>
        <v>5.9391570537498524</v>
      </c>
      <c r="F64" s="17">
        <f>F51*EXP(-F52*F54)*(1-F61)-F50*(1-F60)</f>
        <v>13.642610174330088</v>
      </c>
      <c r="G64" s="13"/>
      <c r="H64" s="48" t="s">
        <v>35</v>
      </c>
    </row>
    <row r="65" spans="2:8" x14ac:dyDescent="0.3">
      <c r="B65" s="18" t="s">
        <v>17</v>
      </c>
      <c r="C65" s="18">
        <v>1</v>
      </c>
      <c r="D65" s="19">
        <f>D60</f>
        <v>0.73741441315839851</v>
      </c>
      <c r="E65" s="19">
        <f>E60</f>
        <v>0.40020506081580487</v>
      </c>
      <c r="F65" s="19">
        <f>(F60-1)</f>
        <v>-0.59979493918419513</v>
      </c>
      <c r="G65" s="13"/>
      <c r="H65" s="54">
        <f>F64+F50-F51*EXP(-F52*F54)</f>
        <v>5.9391570537498524</v>
      </c>
    </row>
    <row r="66" spans="2:8" x14ac:dyDescent="0.3">
      <c r="B66" s="21" t="s">
        <v>18</v>
      </c>
      <c r="C66" s="21">
        <v>0</v>
      </c>
      <c r="D66" s="22">
        <f>D58/(D50*D53*SQRT(D54))</f>
        <v>1.4356656426772004E-2</v>
      </c>
      <c r="E66" s="22">
        <f>E58/(E50*E53*SQRT(E54))</f>
        <v>1.701539813208305E-2</v>
      </c>
      <c r="F66" s="22">
        <f>F58/(F50*F53*SQRT(F54))</f>
        <v>1.701539813208305E-2</v>
      </c>
      <c r="G66" s="13"/>
    </row>
    <row r="67" spans="2:8" x14ac:dyDescent="0.3">
      <c r="B67" s="21" t="s">
        <v>19</v>
      </c>
      <c r="C67" s="21">
        <v>0</v>
      </c>
      <c r="D67" s="23">
        <f>D58*D50*SQRT(D54)</f>
        <v>30.847470030021654</v>
      </c>
      <c r="E67" s="23">
        <f>E58*E50*SQRT(E54)</f>
        <v>36.56018283961501</v>
      </c>
      <c r="F67" s="23">
        <f>F58*F50*SQRT(F54)</f>
        <v>36.56018283961501</v>
      </c>
      <c r="G67" s="13"/>
    </row>
    <row r="68" spans="2:8" x14ac:dyDescent="0.3">
      <c r="D68" s="24"/>
      <c r="E68" s="24"/>
      <c r="F68" s="24"/>
      <c r="G68" s="13"/>
    </row>
    <row r="69" spans="2:8" x14ac:dyDescent="0.3">
      <c r="B69" s="25" t="s">
        <v>20</v>
      </c>
      <c r="C69" s="26" t="s">
        <v>21</v>
      </c>
      <c r="D69" s="26" t="s">
        <v>1</v>
      </c>
      <c r="E69" s="26" t="s">
        <v>2</v>
      </c>
      <c r="F69" s="5" t="s">
        <v>3</v>
      </c>
      <c r="G69" s="13"/>
    </row>
    <row r="70" spans="2:8" x14ac:dyDescent="0.3">
      <c r="B70" s="27" t="s">
        <v>22</v>
      </c>
      <c r="C70" s="28">
        <v>30</v>
      </c>
      <c r="D70" s="29">
        <v>-250</v>
      </c>
      <c r="E70" s="29">
        <v>-40</v>
      </c>
      <c r="F70" s="29">
        <v>0</v>
      </c>
      <c r="G70" s="13"/>
    </row>
    <row r="71" spans="2:8" x14ac:dyDescent="0.3">
      <c r="B71" s="27" t="s">
        <v>23</v>
      </c>
      <c r="C71" s="28">
        <v>-25</v>
      </c>
      <c r="D71" s="30">
        <v>120</v>
      </c>
      <c r="E71" s="30">
        <v>80</v>
      </c>
      <c r="F71" s="29">
        <v>0</v>
      </c>
      <c r="G71" s="13"/>
    </row>
    <row r="72" spans="2:8" x14ac:dyDescent="0.3">
      <c r="B72" s="27" t="s">
        <v>24</v>
      </c>
      <c r="C72" s="28">
        <v>0</v>
      </c>
      <c r="D72" s="28">
        <v>110</v>
      </c>
      <c r="E72" s="31">
        <v>36</v>
      </c>
      <c r="F72" s="29">
        <v>0</v>
      </c>
      <c r="G72" s="13"/>
    </row>
    <row r="73" spans="2:8" x14ac:dyDescent="0.3">
      <c r="B73" s="110"/>
      <c r="C73" s="111"/>
      <c r="D73" s="111"/>
      <c r="E73" s="112"/>
      <c r="F73" s="113"/>
      <c r="G73" s="13"/>
    </row>
    <row r="74" spans="2:8" x14ac:dyDescent="0.3">
      <c r="C74" s="32" t="s">
        <v>16</v>
      </c>
      <c r="D74" s="32" t="s">
        <v>17</v>
      </c>
      <c r="E74" s="32" t="s">
        <v>18</v>
      </c>
      <c r="F74" s="32" t="s">
        <v>36</v>
      </c>
    </row>
    <row r="75" spans="2:8" x14ac:dyDescent="0.3">
      <c r="B75" s="33" t="s">
        <v>22</v>
      </c>
      <c r="C75" s="34">
        <f t="array" ref="C75">SUM(C$64:F$64*C70:F70)</f>
        <v>129.9292434364379</v>
      </c>
      <c r="D75" s="35">
        <f t="array" ref="D75">SUM($C$65:$F$65*C70:F70)</f>
        <v>-170.36180572223182</v>
      </c>
      <c r="E75" s="35">
        <f t="array" ref="E75">SUM($C$66:$F$66*C70:F70)</f>
        <v>-4.2697800319763228</v>
      </c>
      <c r="F75" s="35">
        <f t="array" ref="F75">SUM($C$67:$F$67*C70:F70)</f>
        <v>-9174.2748210900136</v>
      </c>
    </row>
    <row r="76" spans="2:8" x14ac:dyDescent="0.3">
      <c r="B76" s="33" t="s">
        <v>23</v>
      </c>
      <c r="C76" s="34">
        <f t="array" ref="C76">SUM(C64:F64*C71:F71)</f>
        <v>-1248.8652879814993</v>
      </c>
      <c r="D76" s="35">
        <f t="array" ref="D76">SUM($C$65:$F$65*C71:F71)</f>
        <v>95.506134444272206</v>
      </c>
      <c r="E76" s="35">
        <f t="array" ref="E76">SUM($C$66:$F$66*C71:F71)</f>
        <v>3.0840306217792843</v>
      </c>
      <c r="F76" s="35">
        <f t="array" ref="F76">SUM($C$67:$F$67*C71:F71)</f>
        <v>6626.5110307717987</v>
      </c>
    </row>
    <row r="77" spans="2:8" x14ac:dyDescent="0.3">
      <c r="B77" s="33" t="s">
        <v>24</v>
      </c>
      <c r="C77" s="34">
        <f>SUM(C$64:F$64*C72:F72)</f>
        <v>0</v>
      </c>
      <c r="D77" s="35">
        <f t="array" ref="D77">SUM($C$65:$F$65*C72:F72)</f>
        <v>95.522967636792814</v>
      </c>
      <c r="E77" s="35">
        <f t="array" ref="E77">SUM($C$66:$F$66*C72:F72)</f>
        <v>2.1917865396999101</v>
      </c>
      <c r="F77" s="35">
        <f t="array" ref="F77">SUM($C$67:$F$67*C72:F72)</f>
        <v>4709.3882855285228</v>
      </c>
    </row>
    <row r="78" spans="2:8" x14ac:dyDescent="0.3">
      <c r="E78" s="24"/>
      <c r="F78" s="24"/>
      <c r="G78" s="13"/>
    </row>
    <row r="80" spans="2:8" x14ac:dyDescent="0.3">
      <c r="B80" s="36" t="s">
        <v>26</v>
      </c>
      <c r="C80" s="37"/>
      <c r="D80" s="37"/>
      <c r="E80" s="37"/>
      <c r="F80" s="37"/>
      <c r="G80" s="37"/>
      <c r="H80" s="38" t="s">
        <v>27</v>
      </c>
    </row>
    <row r="81" spans="1:8" ht="15" thickBot="1" x14ac:dyDescent="0.35"/>
    <row r="82" spans="1:8" ht="15" thickBot="1" x14ac:dyDescent="0.35">
      <c r="A82" s="14" t="s">
        <v>102</v>
      </c>
      <c r="B82" s="109" t="s">
        <v>103</v>
      </c>
      <c r="D82" s="24"/>
      <c r="E82" s="24"/>
      <c r="F82" s="24"/>
      <c r="G82" s="13"/>
    </row>
    <row r="83" spans="1:8" x14ac:dyDescent="0.3">
      <c r="B83" s="39" t="s">
        <v>28</v>
      </c>
      <c r="C83" s="32" t="s">
        <v>21</v>
      </c>
      <c r="D83" s="32" t="s">
        <v>29</v>
      </c>
      <c r="H83" s="128" t="s">
        <v>37</v>
      </c>
    </row>
    <row r="84" spans="1:8" x14ac:dyDescent="0.3">
      <c r="B84" s="40" t="s">
        <v>22</v>
      </c>
      <c r="C84" s="41">
        <f>-D75-D84*F65</f>
        <v>320.87209262408805</v>
      </c>
      <c r="D84" s="56">
        <f>-E75/F66</f>
        <v>250.93624015329519</v>
      </c>
      <c r="E84" s="134" t="s">
        <v>30</v>
      </c>
      <c r="F84" s="135"/>
      <c r="H84" s="129"/>
    </row>
    <row r="85" spans="1:8" x14ac:dyDescent="0.3">
      <c r="B85" s="40" t="s">
        <v>23</v>
      </c>
      <c r="C85" s="41">
        <f>-D76-D85*F65</f>
        <v>-204.21860445956227</v>
      </c>
      <c r="D85" s="42">
        <f>-E76/F66</f>
        <v>-181.24939527358168</v>
      </c>
      <c r="E85" s="134" t="s">
        <v>30</v>
      </c>
      <c r="F85" s="135"/>
      <c r="H85" s="129"/>
    </row>
    <row r="86" spans="1:8" x14ac:dyDescent="0.3">
      <c r="B86" s="40" t="s">
        <v>24</v>
      </c>
      <c r="C86" s="41">
        <f>-D77-D86*F65</f>
        <v>-172.78372075459879</v>
      </c>
      <c r="D86" s="43">
        <f>-E77/F66</f>
        <v>-128.81194566744989</v>
      </c>
      <c r="E86" s="134" t="s">
        <v>30</v>
      </c>
      <c r="F86" s="135"/>
      <c r="H86" s="130"/>
    </row>
    <row r="88" spans="1:8" x14ac:dyDescent="0.3">
      <c r="B88" s="39" t="s">
        <v>20</v>
      </c>
      <c r="C88" s="32" t="s">
        <v>21</v>
      </c>
      <c r="D88" s="32" t="s">
        <v>1</v>
      </c>
      <c r="E88" s="32" t="s">
        <v>2</v>
      </c>
      <c r="F88" s="32" t="s">
        <v>3</v>
      </c>
      <c r="H88" s="131" t="s">
        <v>32</v>
      </c>
    </row>
    <row r="89" spans="1:8" x14ac:dyDescent="0.3">
      <c r="B89" s="40" t="s">
        <v>22</v>
      </c>
      <c r="C89" s="41">
        <f>C70+C84</f>
        <v>350.87209262408805</v>
      </c>
      <c r="D89" s="30">
        <f t="shared" ref="D89:E91" si="7">D70</f>
        <v>-250</v>
      </c>
      <c r="E89" s="30">
        <f t="shared" si="7"/>
        <v>-40</v>
      </c>
      <c r="F89" s="42">
        <f>D84</f>
        <v>250.93624015329519</v>
      </c>
      <c r="H89" s="132"/>
    </row>
    <row r="90" spans="1:8" x14ac:dyDescent="0.3">
      <c r="B90" s="40" t="s">
        <v>23</v>
      </c>
      <c r="C90" s="41">
        <f>C71+C85</f>
        <v>-229.21860445956227</v>
      </c>
      <c r="D90" s="30">
        <f t="shared" si="7"/>
        <v>120</v>
      </c>
      <c r="E90" s="30">
        <f t="shared" si="7"/>
        <v>80</v>
      </c>
      <c r="F90" s="57">
        <f>D85</f>
        <v>-181.24939527358168</v>
      </c>
      <c r="H90" s="132"/>
    </row>
    <row r="91" spans="1:8" x14ac:dyDescent="0.3">
      <c r="B91" s="40" t="s">
        <v>24</v>
      </c>
      <c r="C91" s="41">
        <f>C72+C86</f>
        <v>-172.78372075459879</v>
      </c>
      <c r="D91" s="30">
        <f t="shared" si="7"/>
        <v>110</v>
      </c>
      <c r="E91" s="30">
        <f t="shared" si="7"/>
        <v>36</v>
      </c>
      <c r="F91" s="42">
        <f>D86</f>
        <v>-128.81194566744989</v>
      </c>
      <c r="H91" s="133"/>
    </row>
    <row r="93" spans="1:8" x14ac:dyDescent="0.3">
      <c r="C93" s="32" t="s">
        <v>16</v>
      </c>
      <c r="D93" s="32" t="s">
        <v>17</v>
      </c>
      <c r="E93" s="32" t="s">
        <v>18</v>
      </c>
      <c r="F93" s="32" t="s">
        <v>36</v>
      </c>
    </row>
    <row r="94" spans="1:8" x14ac:dyDescent="0.3">
      <c r="B94" s="33" t="s">
        <v>22</v>
      </c>
      <c r="C94" s="34">
        <f t="array" ref="C94">SUM($C$64:$F$64*C89:F89)</f>
        <v>50400.680069576782</v>
      </c>
      <c r="D94" s="35">
        <f t="array" ref="D94">SUM($C$65:$F$65*C89:F89)</f>
        <v>-2.8421709430404007E-14</v>
      </c>
      <c r="E94" s="35">
        <f t="array" ref="E94">SUM($C$66:$F$66*C89:F89)</f>
        <v>0</v>
      </c>
      <c r="F94" s="35">
        <f t="array" ref="F94">SUM($C$67:$F$67*C89:F89)</f>
        <v>0</v>
      </c>
      <c r="H94" t="s">
        <v>109</v>
      </c>
    </row>
    <row r="95" spans="1:8" x14ac:dyDescent="0.3">
      <c r="B95" s="33" t="s">
        <v>23</v>
      </c>
      <c r="C95" s="34">
        <f t="array" ref="C95">SUM($C$64:$F$64*C90:F90)</f>
        <v>-33537.496383128135</v>
      </c>
      <c r="D95" s="35">
        <f t="array" ref="D95">SUM($C$65:$F$65*C90:F90)</f>
        <v>0</v>
      </c>
      <c r="E95" s="35">
        <f t="array" ref="E95">SUM($C$66:$F$66*C90:F90)</f>
        <v>0</v>
      </c>
      <c r="F95" s="35">
        <f t="array" ref="F95">SUM($C$67:$F$67*C90:F90)</f>
        <v>0</v>
      </c>
    </row>
    <row r="96" spans="1:8" x14ac:dyDescent="0.3">
      <c r="B96" s="33" t="s">
        <v>24</v>
      </c>
      <c r="C96" s="34">
        <f t="array" ref="C96">SUM($C$64:$F$64*C91:F91)</f>
        <v>-25004.442768032466</v>
      </c>
      <c r="D96" s="35">
        <f t="array" ref="D96">SUM($C$65:$F$65*C91:F91)</f>
        <v>-1.4210854715202004E-14</v>
      </c>
      <c r="E96" s="35">
        <f t="array" ref="E96">SUM($C$66:$F$66*C91:F91)</f>
        <v>0</v>
      </c>
      <c r="F96" s="35">
        <f t="array" ref="F96">SUM($C$67:$F$67*C91:F91)</f>
        <v>0</v>
      </c>
    </row>
    <row r="97" spans="1:8" ht="15" thickBot="1" x14ac:dyDescent="0.35">
      <c r="F97" s="55"/>
    </row>
    <row r="98" spans="1:8" ht="15" thickBot="1" x14ac:dyDescent="0.35">
      <c r="A98" s="14" t="s">
        <v>104</v>
      </c>
      <c r="B98" s="109" t="s">
        <v>105</v>
      </c>
    </row>
    <row r="99" spans="1:8" ht="15" thickBot="1" x14ac:dyDescent="0.35">
      <c r="B99" s="58" t="s">
        <v>106</v>
      </c>
      <c r="C99" s="58" t="s">
        <v>21</v>
      </c>
      <c r="D99" s="58" t="s">
        <v>1</v>
      </c>
      <c r="E99" s="58" t="s">
        <v>2</v>
      </c>
      <c r="F99" s="59" t="s">
        <v>3</v>
      </c>
    </row>
    <row r="100" spans="1:8" x14ac:dyDescent="0.3">
      <c r="B100" s="125" t="s">
        <v>38</v>
      </c>
      <c r="C100" s="60">
        <f>SUM(C70:C72)</f>
        <v>5</v>
      </c>
      <c r="D100" s="61">
        <f>SUM(D70:D72)</f>
        <v>-20</v>
      </c>
      <c r="E100" s="61">
        <f>SUM(E70:E72)</f>
        <v>76</v>
      </c>
      <c r="F100" s="62">
        <f>SUM(F70:F72)</f>
        <v>0</v>
      </c>
      <c r="H100" t="s">
        <v>107</v>
      </c>
    </row>
    <row r="101" spans="1:8" x14ac:dyDescent="0.3">
      <c r="B101" s="126"/>
      <c r="C101" s="63" t="s">
        <v>16</v>
      </c>
      <c r="D101" s="32" t="s">
        <v>17</v>
      </c>
      <c r="E101" s="32" t="s">
        <v>18</v>
      </c>
      <c r="F101" s="64" t="s">
        <v>36</v>
      </c>
    </row>
    <row r="102" spans="1:8" ht="15" thickBot="1" x14ac:dyDescent="0.35">
      <c r="B102" s="127"/>
      <c r="C102" s="65">
        <f>SUM(C75:C77)</f>
        <v>-1118.9360445450613</v>
      </c>
      <c r="D102" s="66">
        <f t="shared" ref="D102:F102" si="8">SUM(D75:D77)</f>
        <v>20.667296358833198</v>
      </c>
      <c r="E102" s="66">
        <f t="shared" si="8"/>
        <v>1.0060371295028716</v>
      </c>
      <c r="F102" s="67">
        <f t="shared" si="8"/>
        <v>2161.6244952103079</v>
      </c>
      <c r="H102" t="s">
        <v>108</v>
      </c>
    </row>
    <row r="103" spans="1:8" x14ac:dyDescent="0.3">
      <c r="B103" s="114"/>
      <c r="C103" s="115"/>
      <c r="D103" s="116"/>
      <c r="E103" s="116"/>
      <c r="F103" s="116"/>
    </row>
    <row r="104" spans="1:8" x14ac:dyDescent="0.3">
      <c r="B104" s="114"/>
      <c r="C104" s="53">
        <f>-D102-F104*F65+SUM(C70:C72)</f>
        <v>-51.130232590072943</v>
      </c>
      <c r="D104" s="52">
        <f>SUM(D89:D91)</f>
        <v>-20</v>
      </c>
      <c r="E104" s="52">
        <f>SUM(E89:E91)</f>
        <v>76</v>
      </c>
      <c r="F104" s="53">
        <f>-E102/F66</f>
        <v>-59.125100787736372</v>
      </c>
    </row>
    <row r="105" spans="1:8" x14ac:dyDescent="0.3">
      <c r="B105" s="114"/>
      <c r="C105" s="53">
        <f t="array" ref="C105">SUM(C104:F104*C64:F64)</f>
        <v>-8141.2590815838112</v>
      </c>
      <c r="D105" s="69">
        <f t="array" ref="D105">SUM(C107:F107*C65:F65)</f>
        <v>-4.9737991503207013E-14</v>
      </c>
      <c r="E105" s="69">
        <f t="array" ref="E105">SUM(C104:F104*C66:F66)</f>
        <v>0</v>
      </c>
      <c r="F105" s="69">
        <f t="array" ref="F105">SUM(C104:F104*C67:F67)</f>
        <v>9.0949470177292824E-13</v>
      </c>
    </row>
    <row r="106" spans="1:8" ht="15" thickBot="1" x14ac:dyDescent="0.35"/>
    <row r="107" spans="1:8" x14ac:dyDescent="0.3">
      <c r="B107" s="125" t="s">
        <v>39</v>
      </c>
      <c r="C107" s="60">
        <f>SUM(C89:C91)</f>
        <v>-51.130232590073007</v>
      </c>
      <c r="D107" s="61">
        <f>SUM(D89:D91)</f>
        <v>-20</v>
      </c>
      <c r="E107" s="61">
        <f>SUM(E89:E91)</f>
        <v>76</v>
      </c>
      <c r="F107" s="62">
        <f>SUM(F89:F91)</f>
        <v>-59.125100787736386</v>
      </c>
    </row>
    <row r="108" spans="1:8" x14ac:dyDescent="0.3">
      <c r="B108" s="126"/>
      <c r="C108" s="63" t="s">
        <v>16</v>
      </c>
      <c r="D108" s="32" t="s">
        <v>17</v>
      </c>
      <c r="E108" s="32" t="s">
        <v>18</v>
      </c>
      <c r="F108" s="64" t="s">
        <v>36</v>
      </c>
    </row>
    <row r="109" spans="1:8" ht="15" thickBot="1" x14ac:dyDescent="0.35">
      <c r="B109" s="127"/>
      <c r="C109" s="68">
        <f>SUM(C94:C96)</f>
        <v>-8141.2590815838194</v>
      </c>
      <c r="D109" s="66">
        <f>SUM(D94:D96)</f>
        <v>-4.2632564145606011E-14</v>
      </c>
      <c r="E109" s="66">
        <f>SUM(E94:E96)</f>
        <v>0</v>
      </c>
      <c r="F109" s="122">
        <f>SUM(F94:F96)</f>
        <v>0</v>
      </c>
      <c r="H109" t="s">
        <v>109</v>
      </c>
    </row>
    <row r="112" spans="1:8" x14ac:dyDescent="0.3">
      <c r="A112" s="71" t="s">
        <v>110</v>
      </c>
    </row>
    <row r="113" spans="1:5" ht="15" thickBot="1" x14ac:dyDescent="0.35"/>
    <row r="114" spans="1:5" ht="15" thickBot="1" x14ac:dyDescent="0.35">
      <c r="A114" s="14" t="s">
        <v>114</v>
      </c>
      <c r="B114" s="117" t="s">
        <v>111</v>
      </c>
    </row>
    <row r="115" spans="1:5" x14ac:dyDescent="0.3">
      <c r="B115" s="117" t="s">
        <v>112</v>
      </c>
    </row>
    <row r="116" spans="1:5" x14ac:dyDescent="0.3">
      <c r="B116" s="117" t="s">
        <v>113</v>
      </c>
    </row>
    <row r="118" spans="1:5" x14ac:dyDescent="0.3">
      <c r="B118" s="118" t="s">
        <v>115</v>
      </c>
      <c r="C118" s="119">
        <v>20000000</v>
      </c>
    </row>
    <row r="119" spans="1:5" x14ac:dyDescent="0.3">
      <c r="B119" s="118" t="s">
        <v>116</v>
      </c>
      <c r="C119" s="98">
        <v>2.1000000000000001E-2</v>
      </c>
    </row>
    <row r="120" spans="1:5" x14ac:dyDescent="0.3">
      <c r="B120" s="118" t="s">
        <v>117</v>
      </c>
      <c r="C120" s="98">
        <v>1.9E-2</v>
      </c>
    </row>
    <row r="121" spans="1:5" x14ac:dyDescent="0.3">
      <c r="B121" s="118" t="s">
        <v>118</v>
      </c>
      <c r="C121">
        <v>360</v>
      </c>
    </row>
    <row r="122" spans="1:5" ht="15" thickBot="1" x14ac:dyDescent="0.35"/>
    <row r="123" spans="1:5" ht="15" thickBot="1" x14ac:dyDescent="0.35">
      <c r="B123" s="118" t="s">
        <v>119</v>
      </c>
      <c r="C123" s="120">
        <f>C118*(C119-C120)/(1+C119)</f>
        <v>39177.27717923608</v>
      </c>
      <c r="E123" t="s">
        <v>120</v>
      </c>
    </row>
    <row r="124" spans="1:5" ht="15" thickBot="1" x14ac:dyDescent="0.35"/>
    <row r="125" spans="1:5" ht="15" thickBot="1" x14ac:dyDescent="0.35">
      <c r="A125" s="14" t="s">
        <v>121</v>
      </c>
      <c r="B125" s="117" t="s">
        <v>122</v>
      </c>
    </row>
    <row r="126" spans="1:5" x14ac:dyDescent="0.3">
      <c r="B126" t="s">
        <v>123</v>
      </c>
    </row>
    <row r="128" spans="1:5" x14ac:dyDescent="0.3">
      <c r="B128" t="s">
        <v>125</v>
      </c>
      <c r="C128">
        <v>400</v>
      </c>
    </row>
    <row r="129" spans="2:8" x14ac:dyDescent="0.3">
      <c r="B129" t="s">
        <v>126</v>
      </c>
      <c r="C129">
        <v>28</v>
      </c>
    </row>
    <row r="130" spans="2:8" ht="16.2" x14ac:dyDescent="0.3">
      <c r="B130" t="s">
        <v>127</v>
      </c>
      <c r="C130" s="98">
        <v>2.3E-2</v>
      </c>
      <c r="H130" t="s">
        <v>129</v>
      </c>
    </row>
    <row r="131" spans="2:8" x14ac:dyDescent="0.3">
      <c r="B131" t="s">
        <v>128</v>
      </c>
      <c r="C131" s="98">
        <v>2.7E-2</v>
      </c>
    </row>
    <row r="132" spans="2:8" ht="15" thickBot="1" x14ac:dyDescent="0.35"/>
    <row r="133" spans="2:8" ht="15" thickBot="1" x14ac:dyDescent="0.35">
      <c r="B133" t="s">
        <v>124</v>
      </c>
      <c r="C133" s="121">
        <f>(C128-C129/(1+C130)^(4/12))*(1+C131)^(7/12)</f>
        <v>378.04120105283499</v>
      </c>
    </row>
  </sheetData>
  <mergeCells count="10">
    <mergeCell ref="J16:K16"/>
    <mergeCell ref="M16:N16"/>
    <mergeCell ref="E24:F24"/>
    <mergeCell ref="B107:B109"/>
    <mergeCell ref="H83:H86"/>
    <mergeCell ref="H88:H91"/>
    <mergeCell ref="E84:F84"/>
    <mergeCell ref="E85:F85"/>
    <mergeCell ref="E86:F86"/>
    <mergeCell ref="B100:B10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9" sqref="J19"/>
    </sheetView>
  </sheetViews>
  <sheetFormatPr baseColWidth="10" defaultRowHeight="14.4" x14ac:dyDescent="0.3"/>
  <cols>
    <col min="1" max="1" width="2.109375" customWidth="1"/>
    <col min="3" max="3" width="6.33203125" customWidth="1"/>
    <col min="4" max="4" width="1.88671875" customWidth="1"/>
    <col min="5" max="14" width="6.109375" customWidth="1"/>
  </cols>
  <sheetData>
    <row r="1" spans="1:14" ht="15" thickBot="1" x14ac:dyDescent="0.35">
      <c r="A1" s="1" t="s">
        <v>40</v>
      </c>
      <c r="B1" s="2"/>
      <c r="C1" s="2"/>
      <c r="D1" s="2"/>
      <c r="E1" s="2"/>
      <c r="F1" s="2"/>
      <c r="G1" s="2"/>
      <c r="H1" s="3"/>
      <c r="I1" s="2"/>
      <c r="J1" s="2"/>
      <c r="K1" s="3"/>
      <c r="L1" s="139"/>
    </row>
    <row r="4" spans="1:14" x14ac:dyDescent="0.3">
      <c r="B4" s="70" t="s">
        <v>133</v>
      </c>
      <c r="C4" s="70" t="s">
        <v>134</v>
      </c>
      <c r="E4" s="70" t="s">
        <v>135</v>
      </c>
      <c r="F4" s="70" t="s">
        <v>136</v>
      </c>
      <c r="G4" s="70" t="s">
        <v>137</v>
      </c>
      <c r="H4" s="70" t="s">
        <v>138</v>
      </c>
      <c r="I4" s="70" t="s">
        <v>139</v>
      </c>
      <c r="J4" s="70" t="s">
        <v>140</v>
      </c>
      <c r="K4" s="70" t="s">
        <v>141</v>
      </c>
      <c r="L4" s="70" t="s">
        <v>142</v>
      </c>
      <c r="M4" s="70" t="s">
        <v>143</v>
      </c>
      <c r="N4" s="70" t="s">
        <v>121</v>
      </c>
    </row>
    <row r="5" spans="1:14" x14ac:dyDescent="0.3">
      <c r="B5" s="24">
        <v>1</v>
      </c>
      <c r="C5" s="70">
        <f>SUM(E5:N5)</f>
        <v>18</v>
      </c>
      <c r="E5" s="24">
        <v>2</v>
      </c>
      <c r="F5" s="24">
        <v>2</v>
      </c>
      <c r="G5" s="24">
        <v>1</v>
      </c>
      <c r="H5" s="24">
        <v>2</v>
      </c>
      <c r="I5" s="24">
        <v>2</v>
      </c>
      <c r="J5" s="24">
        <v>2</v>
      </c>
      <c r="K5" s="24">
        <v>2</v>
      </c>
      <c r="L5" s="24">
        <v>1</v>
      </c>
      <c r="M5" s="24">
        <v>2</v>
      </c>
      <c r="N5" s="24">
        <v>2</v>
      </c>
    </row>
    <row r="6" spans="1:14" x14ac:dyDescent="0.3">
      <c r="B6" s="24">
        <v>2</v>
      </c>
      <c r="C6" s="70">
        <f>SUM(E6:N6)</f>
        <v>15</v>
      </c>
      <c r="E6" s="24">
        <v>2</v>
      </c>
      <c r="F6" s="24">
        <v>1</v>
      </c>
      <c r="G6" s="24">
        <v>2</v>
      </c>
      <c r="H6" s="24">
        <v>0</v>
      </c>
      <c r="I6" s="24">
        <v>2</v>
      </c>
      <c r="J6" s="24">
        <v>2</v>
      </c>
      <c r="K6" s="24">
        <v>2</v>
      </c>
      <c r="L6" s="24">
        <v>1</v>
      </c>
      <c r="M6" s="24">
        <v>1</v>
      </c>
      <c r="N6" s="24">
        <v>2</v>
      </c>
    </row>
    <row r="7" spans="1:14" x14ac:dyDescent="0.3">
      <c r="B7" s="24">
        <v>3</v>
      </c>
      <c r="C7" s="70">
        <f>SUM(E7:N7)</f>
        <v>13</v>
      </c>
      <c r="E7" s="24">
        <v>2</v>
      </c>
      <c r="F7" s="24">
        <v>1</v>
      </c>
      <c r="G7" s="24">
        <v>2</v>
      </c>
      <c r="H7" s="24">
        <v>2</v>
      </c>
      <c r="I7" s="24">
        <v>2</v>
      </c>
      <c r="J7" s="24">
        <v>2</v>
      </c>
      <c r="K7" s="24">
        <v>2</v>
      </c>
      <c r="L7" s="24">
        <v>0</v>
      </c>
      <c r="M7" s="24">
        <v>0</v>
      </c>
      <c r="N7" s="24">
        <v>0</v>
      </c>
    </row>
    <row r="8" spans="1:14" x14ac:dyDescent="0.3">
      <c r="B8" s="24">
        <v>4</v>
      </c>
      <c r="C8" s="70">
        <f>SUM(E8:N8)</f>
        <v>13</v>
      </c>
      <c r="E8" s="24">
        <v>1</v>
      </c>
      <c r="F8" s="24">
        <v>2</v>
      </c>
      <c r="G8" s="24">
        <v>1</v>
      </c>
      <c r="H8" s="24">
        <v>2</v>
      </c>
      <c r="I8" s="24">
        <v>2</v>
      </c>
      <c r="J8" s="24">
        <v>2</v>
      </c>
      <c r="K8" s="24">
        <v>2</v>
      </c>
      <c r="L8" s="24">
        <v>0</v>
      </c>
      <c r="M8" s="24">
        <v>1</v>
      </c>
      <c r="N8" s="24">
        <v>0</v>
      </c>
    </row>
    <row r="9" spans="1:14" x14ac:dyDescent="0.3">
      <c r="B9" s="24">
        <v>5</v>
      </c>
      <c r="C9" s="70">
        <f>SUM(E9:N9)</f>
        <v>11</v>
      </c>
      <c r="E9" s="24">
        <v>1</v>
      </c>
      <c r="F9" s="24">
        <v>0</v>
      </c>
      <c r="G9" s="24">
        <v>2</v>
      </c>
      <c r="H9" s="24">
        <v>2</v>
      </c>
      <c r="I9" s="24">
        <v>2</v>
      </c>
      <c r="J9" s="24">
        <v>2</v>
      </c>
      <c r="K9" s="24">
        <v>2</v>
      </c>
      <c r="L9" s="24">
        <v>0</v>
      </c>
      <c r="M9" s="24">
        <v>0</v>
      </c>
      <c r="N9" s="24">
        <v>0</v>
      </c>
    </row>
    <row r="10" spans="1:14" x14ac:dyDescent="0.3">
      <c r="B10" s="24">
        <v>6</v>
      </c>
      <c r="C10" s="70">
        <f>SUM(E10:N10)</f>
        <v>10</v>
      </c>
      <c r="E10" s="24">
        <v>0</v>
      </c>
      <c r="F10" s="24">
        <v>0</v>
      </c>
      <c r="G10" s="24">
        <v>2</v>
      </c>
      <c r="H10" s="24">
        <v>2</v>
      </c>
      <c r="I10" s="24">
        <v>2</v>
      </c>
      <c r="J10" s="24">
        <v>2</v>
      </c>
      <c r="K10" s="24">
        <v>2</v>
      </c>
      <c r="L10" s="24">
        <v>0</v>
      </c>
      <c r="M10" s="24">
        <v>0</v>
      </c>
      <c r="N10" s="24">
        <v>0</v>
      </c>
    </row>
    <row r="11" spans="1:14" x14ac:dyDescent="0.3">
      <c r="B11" s="24">
        <v>7</v>
      </c>
      <c r="C11" s="70">
        <f>SUM(E11:N11)</f>
        <v>9</v>
      </c>
      <c r="E11" s="24">
        <v>0</v>
      </c>
      <c r="F11" s="24">
        <v>0</v>
      </c>
      <c r="G11" s="24">
        <v>2</v>
      </c>
      <c r="H11" s="24">
        <v>2</v>
      </c>
      <c r="I11" s="24">
        <v>1</v>
      </c>
      <c r="J11" s="24">
        <v>2</v>
      </c>
      <c r="K11" s="24">
        <v>2</v>
      </c>
      <c r="L11" s="24">
        <v>0</v>
      </c>
      <c r="M11" s="24">
        <v>0</v>
      </c>
      <c r="N11" s="24">
        <v>0</v>
      </c>
    </row>
    <row r="12" spans="1:14" x14ac:dyDescent="0.3">
      <c r="B12" s="24">
        <v>8</v>
      </c>
      <c r="C12" s="70">
        <f>SUM(E12:N12)</f>
        <v>6</v>
      </c>
      <c r="E12" s="24">
        <v>2</v>
      </c>
      <c r="F12" s="24">
        <v>1</v>
      </c>
      <c r="G12" s="24">
        <v>1</v>
      </c>
      <c r="H12" s="24">
        <v>0</v>
      </c>
      <c r="I12" s="24">
        <v>0</v>
      </c>
      <c r="J12" s="24">
        <v>2</v>
      </c>
      <c r="K12" s="24">
        <v>0</v>
      </c>
      <c r="L12" s="24">
        <v>0</v>
      </c>
      <c r="M12" s="24">
        <v>0</v>
      </c>
      <c r="N12" s="24">
        <v>0</v>
      </c>
    </row>
    <row r="13" spans="1:14" x14ac:dyDescent="0.3">
      <c r="B13" s="24">
        <v>9</v>
      </c>
      <c r="C13" s="70">
        <f>SUM(E13:N13)</f>
        <v>2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2</v>
      </c>
      <c r="K13" s="24">
        <v>0</v>
      </c>
      <c r="L13" s="24">
        <v>0</v>
      </c>
      <c r="M13" s="24">
        <v>0</v>
      </c>
      <c r="N13" s="24">
        <v>0</v>
      </c>
    </row>
    <row r="14" spans="1:14" x14ac:dyDescent="0.3">
      <c r="B14" s="24"/>
    </row>
    <row r="15" spans="1:14" x14ac:dyDescent="0.3">
      <c r="B15" s="24" t="s">
        <v>144</v>
      </c>
      <c r="C15" s="70">
        <f>AVERAGE(C5:C13)</f>
        <v>10.777777777777779</v>
      </c>
      <c r="E15" s="138">
        <f>AVERAGE(E5:E13)</f>
        <v>1.1111111111111112</v>
      </c>
      <c r="F15" s="138">
        <f t="shared" ref="F15:N15" si="0">AVERAGE(F5:F13)</f>
        <v>0.77777777777777779</v>
      </c>
      <c r="G15" s="138">
        <f t="shared" si="0"/>
        <v>1.4444444444444444</v>
      </c>
      <c r="H15" s="138">
        <f t="shared" si="0"/>
        <v>1.3333333333333333</v>
      </c>
      <c r="I15" s="138">
        <f t="shared" si="0"/>
        <v>1.4444444444444444</v>
      </c>
      <c r="J15" s="138">
        <f t="shared" si="0"/>
        <v>2</v>
      </c>
      <c r="K15" s="138">
        <f t="shared" si="0"/>
        <v>1.5555555555555556</v>
      </c>
      <c r="L15" s="138">
        <f t="shared" si="0"/>
        <v>0.22222222222222221</v>
      </c>
      <c r="M15" s="138">
        <f t="shared" si="0"/>
        <v>0.44444444444444442</v>
      </c>
      <c r="N15" s="138">
        <f t="shared" si="0"/>
        <v>0.44444444444444442</v>
      </c>
    </row>
    <row r="16" spans="1:14" x14ac:dyDescent="0.3">
      <c r="B16" s="24" t="s">
        <v>145</v>
      </c>
      <c r="C16">
        <f>STDEV(C5:C13)</f>
        <v>4.7900359543999729</v>
      </c>
    </row>
    <row r="17" spans="2:3" x14ac:dyDescent="0.3">
      <c r="B17" s="24" t="s">
        <v>146</v>
      </c>
      <c r="C17" s="24">
        <f>MEDIAN(C5:C13)</f>
        <v>11</v>
      </c>
    </row>
    <row r="18" spans="2:3" x14ac:dyDescent="0.3">
      <c r="B18" s="24" t="s">
        <v>147</v>
      </c>
      <c r="C18" s="24">
        <f>MIN(C5:C13)</f>
        <v>2</v>
      </c>
    </row>
    <row r="19" spans="2:3" x14ac:dyDescent="0.3">
      <c r="B19" s="24" t="s">
        <v>148</v>
      </c>
      <c r="C19" s="24">
        <f>MAX(C5:C13)</f>
        <v>18</v>
      </c>
    </row>
  </sheetData>
  <sortState ref="C5:N13">
    <sortCondition descending="1" ref="C5:C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Corrigé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FRANCOIS-HEUDE</dc:creator>
  <cp:lastModifiedBy>FRANCOIS-HEUDE</cp:lastModifiedBy>
  <dcterms:created xsi:type="dcterms:W3CDTF">2019-11-04T08:22:36Z</dcterms:created>
  <dcterms:modified xsi:type="dcterms:W3CDTF">2019-11-05T18:35:55Z</dcterms:modified>
</cp:coreProperties>
</file>