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22116" windowHeight="9552"/>
  </bookViews>
  <sheets>
    <sheet name="Solution" sheetId="1" r:id="rId1"/>
    <sheet name="Notes" sheetId="2" r:id="rId2"/>
  </sheets>
  <calcPr calcId="145621"/>
</workbook>
</file>

<file path=xl/calcChain.xml><?xml version="1.0" encoding="utf-8"?>
<calcChain xmlns="http://schemas.openxmlformats.org/spreadsheetml/2006/main">
  <c r="F18" i="2" l="1"/>
  <c r="G18" i="2"/>
  <c r="H18" i="2"/>
  <c r="I18" i="2"/>
  <c r="J18" i="2"/>
  <c r="K18" i="2"/>
  <c r="L18" i="2"/>
  <c r="M18" i="2"/>
  <c r="N18" i="2"/>
  <c r="E18" i="2"/>
  <c r="C19" i="2"/>
  <c r="C23" i="2"/>
  <c r="C22" i="2"/>
  <c r="C21" i="2"/>
  <c r="C20" i="2"/>
  <c r="C18" i="2"/>
  <c r="C9" i="2"/>
  <c r="C10" i="2"/>
  <c r="C11" i="2"/>
  <c r="C12" i="2"/>
  <c r="C13" i="2"/>
  <c r="C14" i="2"/>
  <c r="C15" i="2"/>
  <c r="C16" i="2"/>
  <c r="C8" i="2"/>
  <c r="I132" i="1"/>
  <c r="I128" i="1"/>
  <c r="F130" i="1"/>
  <c r="I95" i="1"/>
  <c r="I91" i="1"/>
  <c r="I90" i="1"/>
  <c r="I89" i="1"/>
  <c r="D149" i="1" l="1"/>
  <c r="D147" i="1"/>
  <c r="G137" i="1"/>
  <c r="G138" i="1"/>
  <c r="G139" i="1"/>
  <c r="F139" i="1"/>
  <c r="F138" i="1"/>
  <c r="F137" i="1"/>
  <c r="E138" i="1"/>
  <c r="E139" i="1"/>
  <c r="E137" i="1"/>
  <c r="E129" i="1"/>
  <c r="F129" i="1" s="1"/>
  <c r="I129" i="1" s="1"/>
  <c r="E130" i="1"/>
  <c r="I130" i="1" s="1"/>
  <c r="E128" i="1"/>
  <c r="F128" i="1" s="1"/>
  <c r="J115" i="1"/>
  <c r="E119" i="1" s="1"/>
  <c r="I120" i="1" s="1"/>
  <c r="I115" i="1"/>
  <c r="D119" i="1" s="1"/>
  <c r="J120" i="1" s="1"/>
  <c r="F132" i="1" l="1"/>
  <c r="I108" i="1"/>
  <c r="I105" i="1"/>
  <c r="D108" i="1"/>
  <c r="E82" i="1"/>
  <c r="J65" i="1"/>
  <c r="J69" i="1"/>
  <c r="I93" i="1" l="1"/>
</calcChain>
</file>

<file path=xl/sharedStrings.xml><?xml version="1.0" encoding="utf-8"?>
<sst xmlns="http://schemas.openxmlformats.org/spreadsheetml/2006/main" count="233" uniqueCount="151">
  <si>
    <t>Qté</t>
  </si>
  <si>
    <t>Prix</t>
  </si>
  <si>
    <t>ACHAT</t>
  </si>
  <si>
    <t>VENTE</t>
  </si>
  <si>
    <t>Carnet d'ordres le 07/10/19 à 13:18:16</t>
  </si>
  <si>
    <t>Q1</t>
  </si>
  <si>
    <t>Donner la meilleure limite (Bid-Ask) à 13:18:31 [ 3 ordres ont été passés]</t>
  </si>
  <si>
    <t>13:18:18 Vente de 1 000 titres à tout prix (au prix de marché)</t>
  </si>
  <si>
    <t>13:18:20 Vente de 2 000 titres à la meilleure limite</t>
  </si>
  <si>
    <t>13:18:30 Achat de 500 titres à 64,30€</t>
  </si>
  <si>
    <t>Carnet d'ordres le 07/10/19 à 13:18:19</t>
  </si>
  <si>
    <t>ordre exécuté en totalité à 64,30€</t>
  </si>
  <si>
    <t>Carnet d'ordres le 07/10/19 à 13:18:21</t>
  </si>
  <si>
    <t>64,30 - 64,40</t>
  </si>
  <si>
    <t>64,30 - 64,50</t>
  </si>
  <si>
    <t>64,20 - 64,40</t>
  </si>
  <si>
    <t>64,20 - 64,30</t>
  </si>
  <si>
    <t>64,20 - 64,50</t>
  </si>
  <si>
    <t>X</t>
  </si>
  <si>
    <t>Carnet d'ordres le 07/10/19 à 13:18:31</t>
  </si>
  <si>
    <t>Q2</t>
  </si>
  <si>
    <t>13:18:12 Achat de 400 titres à 64,40€ (mis en carnet)</t>
  </si>
  <si>
    <t>13:18:14 Vente de 1 600 titres à 64,40€ (exécution partielle)</t>
  </si>
  <si>
    <t>Carnet d'ordres le 07/10/19 à 13:18:13</t>
  </si>
  <si>
    <t>400 sont exécutés à 64,40€ et 1 200 sont mis en carnet à 64,40€</t>
  </si>
  <si>
    <t>Carnet d'ordres le 07/10/19 à 13:18:11</t>
  </si>
  <si>
    <t>2 500 - 1 200</t>
  </si>
  <si>
    <t>400 - 800</t>
  </si>
  <si>
    <t>2 500 - 800</t>
  </si>
  <si>
    <t>1 400 - 1 200</t>
  </si>
  <si>
    <t>2 500 - 2 300</t>
  </si>
  <si>
    <t>Q3</t>
  </si>
  <si>
    <t>USD-EUR</t>
  </si>
  <si>
    <t>GBP-CNY</t>
  </si>
  <si>
    <t>USD-CNY</t>
  </si>
  <si>
    <t>Chemin $ --&gt; € --&gt; £</t>
  </si>
  <si>
    <t>Chemin $ --&gt; CNY --&gt; £</t>
  </si>
  <si>
    <t>EUR-GBP</t>
  </si>
  <si>
    <t>Donner le meilleur change en spot et en Mid (le maximum de £) pour USD-GBP à partir des informations suivantes</t>
  </si>
  <si>
    <t>USD-EUR  0,9104    GBP-CNY  8,8107   EUR-GBP  0,8894  et   USD-CNY  7,1475</t>
  </si>
  <si>
    <t>Q4</t>
  </si>
  <si>
    <t>Un portefeuille est évalué à 98,24% avec un taux de rendement de 4,15%, une Duration (Macaulay) de 8,3 ans, une convexité de 230 points</t>
  </si>
  <si>
    <t>Donner la +/- value pour une baisse de 0,25% du taux de marché (rendement)</t>
  </si>
  <si>
    <t xml:space="preserve"> 0,9104 * 0,8894</t>
  </si>
  <si>
    <t>7,1475 / 8,8107</t>
  </si>
  <si>
    <t>Prix Vo</t>
  </si>
  <si>
    <t>Taux r</t>
  </si>
  <si>
    <t>Duration</t>
  </si>
  <si>
    <t>Convexité</t>
  </si>
  <si>
    <t>d(1 + r)</t>
  </si>
  <si>
    <t>dVo / Vo</t>
  </si>
  <si>
    <t>dVo / Vo =  - Du [d(1+r)/(1+r)] + (Cvx/2) [d(1+r)/(1+r)]²</t>
  </si>
  <si>
    <t>Donner la valeur d'un portefeuille en € qui comporte des contrats sur :</t>
  </si>
  <si>
    <t>Brent</t>
  </si>
  <si>
    <t>OR</t>
  </si>
  <si>
    <t>ALU</t>
  </si>
  <si>
    <t>Unité</t>
  </si>
  <si>
    <t>Quantité</t>
  </si>
  <si>
    <t>$/159l</t>
  </si>
  <si>
    <t>en $</t>
  </si>
  <si>
    <t>$/31,1g</t>
  </si>
  <si>
    <t>$/T</t>
  </si>
  <si>
    <t>Change EUR-USD (au 04/10/19)</t>
  </si>
  <si>
    <t>$</t>
  </si>
  <si>
    <t>€</t>
  </si>
  <si>
    <t>Q5</t>
  </si>
  <si>
    <r>
      <t>Donner le rendement actuariel d'un emprunt remboursé</t>
    </r>
    <r>
      <rPr>
        <i/>
        <sz val="11"/>
        <color theme="1"/>
        <rFont val="Calibri"/>
        <family val="2"/>
        <scheme val="minor"/>
      </rPr>
      <t xml:space="preserve">  in fine</t>
    </r>
  </si>
  <si>
    <t>maturité n = 5 ans, taux de coupon i = 2% et prix Vo = 103%</t>
  </si>
  <si>
    <t>si r = 2% alors Vo = 100%</t>
  </si>
  <si>
    <t>Test avec r = 2%</t>
  </si>
  <si>
    <t>si r=1% alors Vo =</t>
  </si>
  <si>
    <t>comme Vo &gt; à 100% alors r &lt; i</t>
  </si>
  <si>
    <t>Interpolation linéaire</t>
  </si>
  <si>
    <t>Q6</t>
  </si>
  <si>
    <t>Déterminer le taux de change spot CAD-EUR  à partir des informations suivantes :</t>
  </si>
  <si>
    <t>EUR-CAD Fwd 3 mois</t>
  </si>
  <si>
    <t>EUR-CAD Fwd 3 mois 1,48 -1,50    Taux € à 3 mois  0,20%  -  0,40%  Taux canadien à 3 mois  1,10% - 1,30%</t>
  </si>
  <si>
    <t>Taux Can à 3 mois</t>
  </si>
  <si>
    <t>Taux € à 3 mois</t>
  </si>
  <si>
    <t>CAD-EUR fwd 3 mois</t>
  </si>
  <si>
    <t>CAD-EUR Spot</t>
  </si>
  <si>
    <t>EUR-CAD Spot</t>
  </si>
  <si>
    <t>0,665 - 0,675</t>
  </si>
  <si>
    <t>0,677 - 0,686</t>
  </si>
  <si>
    <t>1,483 - 1,504</t>
  </si>
  <si>
    <t>1,563 - 1,584</t>
  </si>
  <si>
    <t>0,854 - 0,897</t>
  </si>
  <si>
    <t>Q7</t>
  </si>
  <si>
    <t>Un emprunt a une maturité de 3 ans, rembourse en 2 tranches égales en t=2 et t = 3 avec un taux de coupon i = 2%</t>
  </si>
  <si>
    <t>un taux de rendement actuariel r = 3%. Quelle est sa duration ?</t>
  </si>
  <si>
    <t>coupon</t>
  </si>
  <si>
    <t>Rbt</t>
  </si>
  <si>
    <t>Flux</t>
  </si>
  <si>
    <t>Flux actualisé</t>
  </si>
  <si>
    <t>Q8</t>
  </si>
  <si>
    <t>Q9</t>
  </si>
  <si>
    <t>Donner la meilleure limite [quantité - prix] côté Achat (BID) après le fixing résumé par :</t>
  </si>
  <si>
    <t>∑↓Achat</t>
  </si>
  <si>
    <t>∑↑Vente</t>
  </si>
  <si>
    <t>|écart|</t>
  </si>
  <si>
    <t>Achat</t>
  </si>
  <si>
    <t>Vente</t>
  </si>
  <si>
    <t>300 - 39</t>
  </si>
  <si>
    <t>700 - 39</t>
  </si>
  <si>
    <t>400 - 39</t>
  </si>
  <si>
    <t>4 200 - 40</t>
  </si>
  <si>
    <t>700 - 38</t>
  </si>
  <si>
    <t>Q10</t>
  </si>
  <si>
    <t>Taux Ref</t>
  </si>
  <si>
    <t>Valeur FRA</t>
  </si>
  <si>
    <t>Structure des taux au comptant :  R1 = 1,80%     R2 = 2,00%      R3 = 2,10%    R4 = 2,25%</t>
  </si>
  <si>
    <r>
      <t xml:space="preserve">Taux FRA  F </t>
    </r>
    <r>
      <rPr>
        <vertAlign val="subscript"/>
        <sz val="11"/>
        <color theme="1"/>
        <rFont val="Calibri"/>
        <family val="2"/>
        <scheme val="minor"/>
      </rPr>
      <t>1/4</t>
    </r>
  </si>
  <si>
    <t>Fixing</t>
  </si>
  <si>
    <t>Qté échangée</t>
  </si>
  <si>
    <t>Il reste 300 titres du côté Achat à la limite de 39€ qui n'ont pas trouvé preneur !</t>
  </si>
  <si>
    <t>Donner la meilleure limite en quantité (Bid-Ask) à 13:18:11 [ 2 ordres ont été passés]</t>
  </si>
  <si>
    <t xml:space="preserve"> 1 000 000 litres de Brent, 5Kg d'or et 90 tonnes de cuivre</t>
  </si>
  <si>
    <t>Donner le prix d'un FRA de 1 dans 3 pour un nominal de 120 millions d'€, si le taux constaté en t=3, est de 2,65% ?</t>
  </si>
  <si>
    <t>1 500 titres exécutés et 500 en carnet à 64,30€</t>
  </si>
  <si>
    <t>Deux possibilités sont offertes. On retient celle qui donne le plus de £</t>
  </si>
  <si>
    <t>IAE M2 SIAD  2019-2020</t>
  </si>
  <si>
    <t>Pr. Alain FRANCOIS-HEUDE</t>
  </si>
  <si>
    <t>Cours : Analyse Financière des Risques</t>
  </si>
  <si>
    <t>Mme</t>
  </si>
  <si>
    <t>BOYER Mégane</t>
  </si>
  <si>
    <t>CADON Mathilde</t>
  </si>
  <si>
    <t>GANTELET Arielle</t>
  </si>
  <si>
    <t>M.</t>
  </si>
  <si>
    <t>GOUT Mathias</t>
  </si>
  <si>
    <t>GUEYE Ibrahima</t>
  </si>
  <si>
    <t>KACI Samuel</t>
  </si>
  <si>
    <t>MOHAMED Sahardid</t>
  </si>
  <si>
    <t>RABIA Mohamed-Akli</t>
  </si>
  <si>
    <t>TOUSTOU Emeline</t>
  </si>
  <si>
    <t>Examen du 07-10-19</t>
  </si>
  <si>
    <t>NOTE</t>
  </si>
  <si>
    <t>Q01</t>
  </si>
  <si>
    <t>Q02</t>
  </si>
  <si>
    <t>Q03</t>
  </si>
  <si>
    <t>Q04</t>
  </si>
  <si>
    <t>Q05</t>
  </si>
  <si>
    <t>Q06</t>
  </si>
  <si>
    <t>Q07</t>
  </si>
  <si>
    <t>Q08</t>
  </si>
  <si>
    <t>Q09</t>
  </si>
  <si>
    <t>Moyenne</t>
  </si>
  <si>
    <t>Mecart type</t>
  </si>
  <si>
    <t>Minimum</t>
  </si>
  <si>
    <t>Maximum</t>
  </si>
  <si>
    <t>NB &gt;= à 10</t>
  </si>
  <si>
    <t>Médiane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</si>
</sst>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#,##0.0"/>
    <numFmt numFmtId="166" formatCode="0.000"/>
    <numFmt numFmtId="167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Calibri"/>
      <family val="2"/>
    </font>
    <font>
      <vertAlign val="subscript"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5">
    <xf numFmtId="0" fontId="0" fillId="0" borderId="0" xfId="0"/>
    <xf numFmtId="3" fontId="0" fillId="0" borderId="0" xfId="0" applyNumberFormat="1"/>
    <xf numFmtId="2" fontId="0" fillId="0" borderId="0" xfId="0" applyNumberFormat="1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3" fontId="2" fillId="2" borderId="4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/>
    <xf numFmtId="0" fontId="2" fillId="0" borderId="8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0" xfId="0" quotePrefix="1"/>
    <xf numFmtId="10" fontId="0" fillId="0" borderId="0" xfId="0" applyNumberFormat="1"/>
    <xf numFmtId="10" fontId="2" fillId="2" borderId="1" xfId="0" applyNumberFormat="1" applyFont="1" applyFill="1" applyBorder="1" applyAlignment="1">
      <alignment horizontal="center"/>
    </xf>
    <xf numFmtId="10" fontId="2" fillId="0" borderId="8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9" fontId="0" fillId="0" borderId="0" xfId="0" applyNumberFormat="1"/>
    <xf numFmtId="10" fontId="0" fillId="0" borderId="0" xfId="1" applyNumberFormat="1" applyFont="1"/>
    <xf numFmtId="10" fontId="2" fillId="2" borderId="1" xfId="1" applyNumberFormat="1" applyFont="1" applyFill="1" applyBorder="1" applyAlignment="1">
      <alignment horizontal="center"/>
    </xf>
    <xf numFmtId="0" fontId="2" fillId="2" borderId="1" xfId="0" applyFont="1" applyFill="1" applyBorder="1"/>
    <xf numFmtId="164" fontId="0" fillId="0" borderId="0" xfId="0" applyNumberFormat="1"/>
    <xf numFmtId="0" fontId="5" fillId="0" borderId="0" xfId="0" applyFont="1"/>
    <xf numFmtId="164" fontId="2" fillId="0" borderId="0" xfId="0" applyNumberFormat="1" applyFont="1"/>
    <xf numFmtId="0" fontId="6" fillId="2" borderId="2" xfId="0" applyFont="1" applyFill="1" applyBorder="1"/>
    <xf numFmtId="164" fontId="0" fillId="0" borderId="0" xfId="0" applyNumberFormat="1" applyAlignment="1">
      <alignment horizontal="center"/>
    </xf>
    <xf numFmtId="2" fontId="0" fillId="0" borderId="0" xfId="0" applyNumberFormat="1" applyFill="1"/>
    <xf numFmtId="0" fontId="0" fillId="0" borderId="0" xfId="0" applyFill="1"/>
    <xf numFmtId="0" fontId="4" fillId="0" borderId="0" xfId="0" applyFont="1" applyFill="1"/>
    <xf numFmtId="2" fontId="0" fillId="0" borderId="0" xfId="1" applyNumberFormat="1" applyFont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165" fontId="2" fillId="0" borderId="8" xfId="0" applyNumberFormat="1" applyFont="1" applyBorder="1" applyAlignment="1">
      <alignment horizontal="center"/>
    </xf>
    <xf numFmtId="165" fontId="0" fillId="0" borderId="0" xfId="0" applyNumberFormat="1"/>
    <xf numFmtId="165" fontId="0" fillId="0" borderId="6" xfId="0" applyNumberFormat="1" applyBorder="1"/>
    <xf numFmtId="0" fontId="0" fillId="0" borderId="0" xfId="0" applyBorder="1"/>
    <xf numFmtId="165" fontId="2" fillId="0" borderId="0" xfId="0" applyNumberFormat="1" applyFont="1" applyBorder="1" applyAlignment="1">
      <alignment horizontal="center"/>
    </xf>
    <xf numFmtId="165" fontId="0" fillId="0" borderId="0" xfId="0" applyNumberFormat="1" applyBorder="1"/>
    <xf numFmtId="0" fontId="0" fillId="0" borderId="0" xfId="0" applyFont="1" applyFill="1"/>
    <xf numFmtId="0" fontId="7" fillId="0" borderId="0" xfId="0" applyFont="1" applyFill="1"/>
    <xf numFmtId="0" fontId="8" fillId="0" borderId="0" xfId="0" applyFont="1" applyAlignment="1">
      <alignment horizontal="center"/>
    </xf>
    <xf numFmtId="0" fontId="2" fillId="2" borderId="2" xfId="0" applyFont="1" applyFill="1" applyBorder="1"/>
    <xf numFmtId="1" fontId="2" fillId="2" borderId="3" xfId="0" applyNumberFormat="1" applyFont="1" applyFill="1" applyBorder="1"/>
    <xf numFmtId="0" fontId="2" fillId="2" borderId="14" xfId="0" applyFont="1" applyFill="1" applyBorder="1"/>
    <xf numFmtId="3" fontId="2" fillId="0" borderId="0" xfId="0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3" fontId="2" fillId="2" borderId="17" xfId="0" applyNumberFormat="1" applyFont="1" applyFill="1" applyBorder="1" applyAlignment="1">
      <alignment horizontal="center"/>
    </xf>
    <xf numFmtId="3" fontId="2" fillId="2" borderId="17" xfId="0" applyNumberFormat="1" applyFont="1" applyFill="1" applyBorder="1" applyAlignment="1">
      <alignment horizontal="left"/>
    </xf>
    <xf numFmtId="0" fontId="2" fillId="2" borderId="17" xfId="0" applyFont="1" applyFill="1" applyBorder="1" applyAlignment="1">
      <alignment horizontal="center"/>
    </xf>
    <xf numFmtId="3" fontId="2" fillId="2" borderId="17" xfId="0" applyNumberFormat="1" applyFont="1" applyFill="1" applyBorder="1"/>
    <xf numFmtId="0" fontId="2" fillId="2" borderId="17" xfId="0" applyFont="1" applyFill="1" applyBorder="1"/>
    <xf numFmtId="0" fontId="2" fillId="2" borderId="5" xfId="0" applyFont="1" applyFill="1" applyBorder="1"/>
    <xf numFmtId="0" fontId="2" fillId="2" borderId="11" xfId="0" applyFont="1" applyFill="1" applyBorder="1"/>
    <xf numFmtId="0" fontId="2" fillId="2" borderId="13" xfId="0" applyFont="1" applyFill="1" applyBorder="1"/>
    <xf numFmtId="0" fontId="2" fillId="2" borderId="12" xfId="0" applyFont="1" applyFill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4" xfId="0" applyFill="1" applyBorder="1"/>
    <xf numFmtId="166" fontId="2" fillId="2" borderId="14" xfId="0" applyNumberFormat="1" applyFont="1" applyFill="1" applyBorder="1" applyAlignment="1">
      <alignment horizontal="center"/>
    </xf>
    <xf numFmtId="166" fontId="2" fillId="2" borderId="3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0" fillId="0" borderId="0" xfId="0" applyFont="1"/>
    <xf numFmtId="0" fontId="11" fillId="0" borderId="0" xfId="0" applyFont="1"/>
    <xf numFmtId="167" fontId="0" fillId="0" borderId="0" xfId="0" applyNumberFormat="1" applyAlignment="1">
      <alignment horizontal="center"/>
    </xf>
    <xf numFmtId="167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2" fontId="12" fillId="0" borderId="0" xfId="0" applyNumberFormat="1" applyFont="1" applyAlignment="1">
      <alignment horizontal="center"/>
    </xf>
    <xf numFmtId="2" fontId="12" fillId="3" borderId="0" xfId="0" applyNumberFormat="1" applyFont="1" applyFill="1" applyAlignment="1">
      <alignment horizontal="center"/>
    </xf>
    <xf numFmtId="2" fontId="12" fillId="4" borderId="0" xfId="0" applyNumberFormat="1" applyFont="1" applyFill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9"/>
  <sheetViews>
    <sheetView tabSelected="1" workbookViewId="0">
      <selection activeCell="I3" sqref="I3"/>
    </sheetView>
  </sheetViews>
  <sheetFormatPr baseColWidth="10" defaultRowHeight="14.4" x14ac:dyDescent="0.3"/>
  <cols>
    <col min="1" max="1" width="5.5546875" customWidth="1"/>
    <col min="2" max="2" width="8" customWidth="1"/>
    <col min="3" max="3" width="10.77734375" customWidth="1"/>
    <col min="4" max="4" width="9" customWidth="1"/>
    <col min="5" max="5" width="8.88671875" customWidth="1"/>
    <col min="6" max="6" width="9.5546875" customWidth="1"/>
    <col min="7" max="7" width="5.44140625" customWidth="1"/>
    <col min="8" max="8" width="3.88671875" customWidth="1"/>
    <col min="9" max="9" width="8.5546875" customWidth="1"/>
    <col min="10" max="10" width="7.33203125" customWidth="1"/>
    <col min="11" max="12" width="2.6640625" customWidth="1"/>
    <col min="13" max="14" width="4.33203125" customWidth="1"/>
    <col min="15" max="15" width="15.44140625" customWidth="1"/>
    <col min="16" max="17" width="4.33203125" customWidth="1"/>
    <col min="18" max="18" width="14.44140625" customWidth="1"/>
    <col min="19" max="20" width="4.33203125" customWidth="1"/>
    <col min="21" max="21" width="14.5546875" customWidth="1"/>
    <col min="22" max="23" width="4.33203125" customWidth="1"/>
    <col min="24" max="24" width="14.33203125" customWidth="1"/>
    <col min="25" max="26" width="4.33203125" customWidth="1"/>
    <col min="27" max="27" width="14.109375" customWidth="1"/>
  </cols>
  <sheetData>
    <row r="1" spans="1:6" x14ac:dyDescent="0.3">
      <c r="A1" s="20" t="s">
        <v>120</v>
      </c>
      <c r="D1" t="s">
        <v>134</v>
      </c>
    </row>
    <row r="2" spans="1:6" x14ac:dyDescent="0.3">
      <c r="A2" s="20" t="s">
        <v>121</v>
      </c>
    </row>
    <row r="3" spans="1:6" x14ac:dyDescent="0.3">
      <c r="A3" s="20" t="s">
        <v>122</v>
      </c>
    </row>
    <row r="4" spans="1:6" ht="15" thickBot="1" x14ac:dyDescent="0.35"/>
    <row r="5" spans="1:6" ht="15" thickBot="1" x14ac:dyDescent="0.35">
      <c r="C5" s="78" t="s">
        <v>4</v>
      </c>
      <c r="D5" s="79"/>
      <c r="E5" s="79"/>
      <c r="F5" s="80"/>
    </row>
    <row r="6" spans="1:6" ht="15" thickBot="1" x14ac:dyDescent="0.35">
      <c r="C6" s="76" t="s">
        <v>2</v>
      </c>
      <c r="D6" s="77"/>
      <c r="E6" s="76" t="s">
        <v>3</v>
      </c>
      <c r="F6" s="77"/>
    </row>
    <row r="7" spans="1:6" ht="15" thickBot="1" x14ac:dyDescent="0.35">
      <c r="C7" s="5" t="s">
        <v>0</v>
      </c>
      <c r="D7" s="6" t="s">
        <v>1</v>
      </c>
      <c r="E7" s="6" t="s">
        <v>1</v>
      </c>
      <c r="F7" s="7" t="s">
        <v>0</v>
      </c>
    </row>
    <row r="8" spans="1:6" x14ac:dyDescent="0.3">
      <c r="C8" s="8">
        <v>2500</v>
      </c>
      <c r="D8" s="9">
        <v>64.3</v>
      </c>
      <c r="E8" s="14">
        <v>64.400000000000006</v>
      </c>
      <c r="F8" s="15">
        <v>1200</v>
      </c>
    </row>
    <row r="9" spans="1:6" x14ac:dyDescent="0.3">
      <c r="C9" s="10">
        <v>1400</v>
      </c>
      <c r="D9" s="11">
        <v>64.2</v>
      </c>
      <c r="E9" s="16">
        <v>64.5</v>
      </c>
      <c r="F9" s="17">
        <v>800</v>
      </c>
    </row>
    <row r="10" spans="1:6" ht="15" thickBot="1" x14ac:dyDescent="0.35">
      <c r="C10" s="12">
        <v>3100</v>
      </c>
      <c r="D10" s="13">
        <v>64.099999999999994</v>
      </c>
      <c r="E10" s="18">
        <v>64.599999999999994</v>
      </c>
      <c r="F10" s="19">
        <v>2300</v>
      </c>
    </row>
    <row r="12" spans="1:6" x14ac:dyDescent="0.3">
      <c r="A12" s="21" t="s">
        <v>5</v>
      </c>
      <c r="B12" t="s">
        <v>6</v>
      </c>
    </row>
    <row r="13" spans="1:6" x14ac:dyDescent="0.3">
      <c r="C13" t="s">
        <v>7</v>
      </c>
    </row>
    <row r="14" spans="1:6" x14ac:dyDescent="0.3">
      <c r="C14" t="s">
        <v>8</v>
      </c>
    </row>
    <row r="15" spans="1:6" x14ac:dyDescent="0.3">
      <c r="C15" t="s">
        <v>9</v>
      </c>
    </row>
    <row r="16" spans="1:6" ht="15" thickBot="1" x14ac:dyDescent="0.35"/>
    <row r="17" spans="3:9" ht="15" thickBot="1" x14ac:dyDescent="0.35">
      <c r="C17" s="78" t="s">
        <v>10</v>
      </c>
      <c r="D17" s="79"/>
      <c r="E17" s="79"/>
      <c r="F17" s="80"/>
      <c r="H17" t="s">
        <v>7</v>
      </c>
    </row>
    <row r="18" spans="3:9" ht="15" thickBot="1" x14ac:dyDescent="0.35">
      <c r="C18" s="76" t="s">
        <v>2</v>
      </c>
      <c r="D18" s="77"/>
      <c r="E18" s="76" t="s">
        <v>3</v>
      </c>
      <c r="F18" s="77"/>
    </row>
    <row r="19" spans="3:9" ht="15" thickBot="1" x14ac:dyDescent="0.35">
      <c r="C19" s="5" t="s">
        <v>0</v>
      </c>
      <c r="D19" s="6" t="s">
        <v>1</v>
      </c>
      <c r="E19" s="6" t="s">
        <v>1</v>
      </c>
      <c r="F19" s="7" t="s">
        <v>0</v>
      </c>
      <c r="I19" s="23" t="s">
        <v>11</v>
      </c>
    </row>
    <row r="20" spans="3:9" x14ac:dyDescent="0.3">
      <c r="C20" s="22">
        <v>1500</v>
      </c>
      <c r="D20" s="9">
        <v>64.3</v>
      </c>
      <c r="E20" s="14">
        <v>64.400000000000006</v>
      </c>
      <c r="F20" s="15">
        <v>1200</v>
      </c>
    </row>
    <row r="21" spans="3:9" x14ac:dyDescent="0.3">
      <c r="C21" s="10">
        <v>1400</v>
      </c>
      <c r="D21" s="11">
        <v>64.2</v>
      </c>
      <c r="E21" s="16">
        <v>64.5</v>
      </c>
      <c r="F21" s="17">
        <v>800</v>
      </c>
    </row>
    <row r="22" spans="3:9" ht="15" thickBot="1" x14ac:dyDescent="0.35">
      <c r="C22" s="12">
        <v>3100</v>
      </c>
      <c r="D22" s="13">
        <v>64.099999999999994</v>
      </c>
      <c r="E22" s="18">
        <v>64.599999999999994</v>
      </c>
      <c r="F22" s="19">
        <v>2300</v>
      </c>
    </row>
    <row r="23" spans="3:9" ht="15" thickBot="1" x14ac:dyDescent="0.35"/>
    <row r="24" spans="3:9" ht="15" thickBot="1" x14ac:dyDescent="0.35">
      <c r="C24" s="78" t="s">
        <v>12</v>
      </c>
      <c r="D24" s="79"/>
      <c r="E24" s="79"/>
      <c r="F24" s="80"/>
      <c r="H24" t="s">
        <v>8</v>
      </c>
    </row>
    <row r="25" spans="3:9" ht="15" thickBot="1" x14ac:dyDescent="0.35">
      <c r="C25" s="76" t="s">
        <v>2</v>
      </c>
      <c r="D25" s="77"/>
      <c r="E25" s="76" t="s">
        <v>3</v>
      </c>
      <c r="F25" s="77"/>
    </row>
    <row r="26" spans="3:9" ht="15" thickBot="1" x14ac:dyDescent="0.35">
      <c r="C26" s="5" t="s">
        <v>0</v>
      </c>
      <c r="D26" s="6" t="s">
        <v>1</v>
      </c>
      <c r="E26" s="6" t="s">
        <v>1</v>
      </c>
      <c r="F26" s="7" t="s">
        <v>0</v>
      </c>
      <c r="I26" s="23" t="s">
        <v>118</v>
      </c>
    </row>
    <row r="27" spans="3:9" x14ac:dyDescent="0.3">
      <c r="C27" s="8">
        <v>1400</v>
      </c>
      <c r="D27" s="9">
        <v>64.2</v>
      </c>
      <c r="E27" s="14">
        <v>64.3</v>
      </c>
      <c r="F27" s="15">
        <v>500</v>
      </c>
    </row>
    <row r="28" spans="3:9" x14ac:dyDescent="0.3">
      <c r="C28" s="10">
        <v>3100</v>
      </c>
      <c r="D28" s="11">
        <v>64.099999999999994</v>
      </c>
      <c r="E28" s="16">
        <v>64.400000000000006</v>
      </c>
      <c r="F28" s="27">
        <v>1200</v>
      </c>
    </row>
    <row r="29" spans="3:9" ht="15" thickBot="1" x14ac:dyDescent="0.35">
      <c r="C29" s="12"/>
      <c r="D29" s="13"/>
      <c r="E29" s="18">
        <v>64.5</v>
      </c>
      <c r="F29" s="28">
        <v>800</v>
      </c>
    </row>
    <row r="31" spans="3:9" ht="15" thickBot="1" x14ac:dyDescent="0.35"/>
    <row r="32" spans="3:9" ht="15" thickBot="1" x14ac:dyDescent="0.35">
      <c r="C32" s="78" t="s">
        <v>19</v>
      </c>
      <c r="D32" s="79"/>
      <c r="E32" s="79"/>
      <c r="F32" s="80"/>
      <c r="H32" t="s">
        <v>9</v>
      </c>
    </row>
    <row r="33" spans="1:27" ht="15" thickBot="1" x14ac:dyDescent="0.35">
      <c r="C33" s="76" t="s">
        <v>2</v>
      </c>
      <c r="D33" s="77"/>
      <c r="E33" s="76" t="s">
        <v>3</v>
      </c>
      <c r="F33" s="77"/>
    </row>
    <row r="34" spans="1:27" ht="15" thickBot="1" x14ac:dyDescent="0.35">
      <c r="C34" s="5" t="s">
        <v>0</v>
      </c>
      <c r="D34" s="6" t="s">
        <v>1</v>
      </c>
      <c r="E34" s="6" t="s">
        <v>1</v>
      </c>
      <c r="F34" s="7" t="s">
        <v>0</v>
      </c>
      <c r="I34" s="23" t="s">
        <v>11</v>
      </c>
    </row>
    <row r="35" spans="1:27" ht="15" thickBot="1" x14ac:dyDescent="0.35">
      <c r="C35" s="8">
        <v>1400</v>
      </c>
      <c r="D35" s="9">
        <v>64.2</v>
      </c>
      <c r="E35" s="14">
        <v>64.400000000000006</v>
      </c>
      <c r="F35" s="15">
        <v>1200</v>
      </c>
    </row>
    <row r="36" spans="1:27" ht="15" thickBot="1" x14ac:dyDescent="0.35">
      <c r="C36" s="10">
        <v>3100</v>
      </c>
      <c r="D36" s="11">
        <v>64.099999999999994</v>
      </c>
      <c r="E36" s="16">
        <v>64.5</v>
      </c>
      <c r="F36" s="27">
        <v>800</v>
      </c>
      <c r="N36" s="29"/>
      <c r="O36" s="30" t="s">
        <v>13</v>
      </c>
      <c r="Q36" s="29"/>
      <c r="R36" s="30" t="s">
        <v>14</v>
      </c>
      <c r="T36" s="29"/>
      <c r="U36" s="30" t="s">
        <v>15</v>
      </c>
      <c r="W36" s="29"/>
      <c r="X36" s="30" t="s">
        <v>16</v>
      </c>
      <c r="Z36" s="29"/>
      <c r="AA36" s="30" t="s">
        <v>17</v>
      </c>
    </row>
    <row r="37" spans="1:27" ht="15" thickBot="1" x14ac:dyDescent="0.35">
      <c r="C37" s="12"/>
      <c r="D37" s="13"/>
      <c r="E37" s="18"/>
      <c r="F37" s="28"/>
      <c r="N37" s="29"/>
      <c r="O37" s="30" t="s">
        <v>13</v>
      </c>
      <c r="Q37" s="29"/>
      <c r="R37" s="30" t="s">
        <v>14</v>
      </c>
      <c r="T37" s="31" t="s">
        <v>18</v>
      </c>
      <c r="U37" s="30" t="s">
        <v>15</v>
      </c>
      <c r="W37" s="29"/>
      <c r="X37" s="30" t="s">
        <v>16</v>
      </c>
      <c r="Z37" s="29"/>
      <c r="AA37" s="30" t="s">
        <v>17</v>
      </c>
    </row>
    <row r="39" spans="1:27" x14ac:dyDescent="0.3">
      <c r="A39" s="21" t="s">
        <v>20</v>
      </c>
      <c r="B39" t="s">
        <v>115</v>
      </c>
    </row>
    <row r="40" spans="1:27" x14ac:dyDescent="0.3">
      <c r="C40" t="s">
        <v>22</v>
      </c>
    </row>
    <row r="41" spans="1:27" x14ac:dyDescent="0.3">
      <c r="C41" t="s">
        <v>21</v>
      </c>
    </row>
    <row r="43" spans="1:27" ht="15" thickBot="1" x14ac:dyDescent="0.35"/>
    <row r="44" spans="1:27" ht="15" thickBot="1" x14ac:dyDescent="0.35">
      <c r="C44" s="78" t="s">
        <v>23</v>
      </c>
      <c r="D44" s="79"/>
      <c r="E44" s="79"/>
      <c r="F44" s="80"/>
      <c r="H44" t="s">
        <v>22</v>
      </c>
    </row>
    <row r="45" spans="1:27" ht="15" thickBot="1" x14ac:dyDescent="0.35">
      <c r="C45" s="76" t="s">
        <v>2</v>
      </c>
      <c r="D45" s="77"/>
      <c r="E45" s="76" t="s">
        <v>3</v>
      </c>
      <c r="F45" s="77"/>
    </row>
    <row r="46" spans="1:27" ht="15" thickBot="1" x14ac:dyDescent="0.35">
      <c r="C46" s="24" t="s">
        <v>0</v>
      </c>
      <c r="D46" s="25" t="s">
        <v>1</v>
      </c>
      <c r="E46" s="6" t="s">
        <v>1</v>
      </c>
      <c r="F46" s="7" t="s">
        <v>0</v>
      </c>
      <c r="I46" s="23" t="s">
        <v>24</v>
      </c>
    </row>
    <row r="47" spans="1:27" x14ac:dyDescent="0.3">
      <c r="C47" s="8">
        <v>400</v>
      </c>
      <c r="D47" s="32">
        <v>64.400000000000006</v>
      </c>
      <c r="E47" s="14">
        <v>64.5</v>
      </c>
      <c r="F47" s="15">
        <v>800</v>
      </c>
    </row>
    <row r="48" spans="1:27" x14ac:dyDescent="0.3">
      <c r="C48" s="10">
        <v>2500</v>
      </c>
      <c r="D48" s="26">
        <v>64.3</v>
      </c>
      <c r="E48" s="16">
        <v>64.599999999999994</v>
      </c>
      <c r="F48" s="27">
        <v>2300</v>
      </c>
    </row>
    <row r="49" spans="1:27" ht="15" thickBot="1" x14ac:dyDescent="0.35">
      <c r="C49" s="12">
        <v>1400</v>
      </c>
      <c r="D49" s="33">
        <v>64.2</v>
      </c>
      <c r="E49" s="18"/>
      <c r="F49" s="19"/>
    </row>
    <row r="51" spans="1:27" ht="15" thickBot="1" x14ac:dyDescent="0.35"/>
    <row r="52" spans="1:27" ht="15" thickBot="1" x14ac:dyDescent="0.35">
      <c r="C52" s="78" t="s">
        <v>25</v>
      </c>
      <c r="D52" s="79"/>
      <c r="E52" s="79"/>
      <c r="F52" s="80"/>
      <c r="H52" t="s">
        <v>21</v>
      </c>
    </row>
    <row r="53" spans="1:27" ht="15" thickBot="1" x14ac:dyDescent="0.35">
      <c r="C53" s="76" t="s">
        <v>2</v>
      </c>
      <c r="D53" s="77"/>
      <c r="E53" s="76" t="s">
        <v>3</v>
      </c>
      <c r="F53" s="77"/>
    </row>
    <row r="54" spans="1:27" ht="15" thickBot="1" x14ac:dyDescent="0.35">
      <c r="C54" s="24" t="s">
        <v>0</v>
      </c>
      <c r="D54" s="25" t="s">
        <v>1</v>
      </c>
      <c r="E54" s="6" t="s">
        <v>1</v>
      </c>
      <c r="F54" s="7" t="s">
        <v>0</v>
      </c>
    </row>
    <row r="55" spans="1:27" ht="15" thickBot="1" x14ac:dyDescent="0.35">
      <c r="C55" s="8">
        <v>2500</v>
      </c>
      <c r="D55" s="9">
        <v>64.3</v>
      </c>
      <c r="E55" s="14">
        <v>64.5</v>
      </c>
      <c r="F55" s="15">
        <v>800</v>
      </c>
    </row>
    <row r="56" spans="1:27" ht="15" thickBot="1" x14ac:dyDescent="0.35">
      <c r="C56" s="10">
        <v>1400</v>
      </c>
      <c r="D56" s="11">
        <v>64.2</v>
      </c>
      <c r="E56" s="16">
        <v>64.599999999999994</v>
      </c>
      <c r="F56" s="27">
        <v>2300</v>
      </c>
      <c r="N56" s="29"/>
      <c r="O56" s="30" t="s">
        <v>26</v>
      </c>
      <c r="Q56" s="29"/>
      <c r="R56" s="30" t="s">
        <v>27</v>
      </c>
      <c r="T56" s="29"/>
      <c r="U56" s="30" t="s">
        <v>28</v>
      </c>
      <c r="W56" s="29"/>
      <c r="X56" s="30" t="s">
        <v>29</v>
      </c>
      <c r="Z56" s="29"/>
      <c r="AA56" s="30" t="s">
        <v>30</v>
      </c>
    </row>
    <row r="57" spans="1:27" ht="15" thickBot="1" x14ac:dyDescent="0.35">
      <c r="C57" s="12">
        <v>3100</v>
      </c>
      <c r="D57" s="13">
        <v>64.099999999999994</v>
      </c>
      <c r="E57" s="18"/>
      <c r="F57" s="19"/>
      <c r="N57" s="29"/>
      <c r="O57" s="30" t="s">
        <v>26</v>
      </c>
      <c r="Q57" s="29"/>
      <c r="R57" s="30" t="s">
        <v>27</v>
      </c>
      <c r="T57" s="31" t="s">
        <v>18</v>
      </c>
      <c r="U57" s="30" t="s">
        <v>28</v>
      </c>
      <c r="W57" s="29"/>
      <c r="X57" s="30" t="s">
        <v>29</v>
      </c>
      <c r="Z57" s="29"/>
      <c r="AA57" s="30" t="s">
        <v>30</v>
      </c>
    </row>
    <row r="60" spans="1:27" x14ac:dyDescent="0.3">
      <c r="A60" s="21" t="s">
        <v>31</v>
      </c>
      <c r="B60" t="s">
        <v>38</v>
      </c>
    </row>
    <row r="61" spans="1:27" x14ac:dyDescent="0.3">
      <c r="C61" t="s">
        <v>39</v>
      </c>
    </row>
    <row r="63" spans="1:27" x14ac:dyDescent="0.3">
      <c r="C63" t="s">
        <v>119</v>
      </c>
    </row>
    <row r="65" spans="1:27" x14ac:dyDescent="0.3">
      <c r="C65" t="s">
        <v>32</v>
      </c>
      <c r="D65" s="4">
        <v>0.91039999999999999</v>
      </c>
      <c r="F65" s="20" t="s">
        <v>35</v>
      </c>
      <c r="J65">
        <f>D65*D67</f>
        <v>0.80970975999999995</v>
      </c>
    </row>
    <row r="66" spans="1:27" ht="15" thickBot="1" x14ac:dyDescent="0.35">
      <c r="C66" t="s">
        <v>33</v>
      </c>
      <c r="D66" s="4">
        <v>8.8107000000000006</v>
      </c>
      <c r="G66" s="34" t="s">
        <v>43</v>
      </c>
    </row>
    <row r="67" spans="1:27" ht="15" thickBot="1" x14ac:dyDescent="0.35">
      <c r="C67" t="s">
        <v>37</v>
      </c>
      <c r="D67" s="4">
        <v>0.88939999999999997</v>
      </c>
      <c r="N67" s="29"/>
      <c r="O67" s="30">
        <v>0.80969999999999998</v>
      </c>
      <c r="Q67" s="29"/>
      <c r="R67" s="30">
        <v>0.79359999999999997</v>
      </c>
      <c r="T67" s="29"/>
      <c r="U67" s="30">
        <v>0.81120000000000003</v>
      </c>
      <c r="W67" s="29"/>
      <c r="X67" s="30">
        <v>0.82479999999999998</v>
      </c>
      <c r="Z67" s="29"/>
      <c r="AA67" s="30">
        <v>0.85489999999999999</v>
      </c>
    </row>
    <row r="68" spans="1:27" ht="15" thickBot="1" x14ac:dyDescent="0.35">
      <c r="C68" t="s">
        <v>34</v>
      </c>
      <c r="D68" s="4">
        <v>7.1475</v>
      </c>
      <c r="N68" s="29"/>
      <c r="O68" s="30">
        <v>0.80969999999999998</v>
      </c>
      <c r="Q68" s="29"/>
      <c r="R68" s="30">
        <v>0.79359999999999997</v>
      </c>
      <c r="T68" s="31" t="s">
        <v>18</v>
      </c>
      <c r="U68" s="30">
        <v>0.81120000000000003</v>
      </c>
      <c r="W68" s="29"/>
      <c r="X68" s="30">
        <v>0.82479999999999998</v>
      </c>
      <c r="Z68" s="29"/>
      <c r="AA68" s="30">
        <v>0.85489999999999999</v>
      </c>
    </row>
    <row r="69" spans="1:27" ht="15" thickBot="1" x14ac:dyDescent="0.35">
      <c r="F69" s="20" t="s">
        <v>36</v>
      </c>
      <c r="J69" s="81">
        <f>D68/D66</f>
        <v>0.81122952773332424</v>
      </c>
    </row>
    <row r="70" spans="1:27" x14ac:dyDescent="0.3">
      <c r="G70" s="34" t="s">
        <v>44</v>
      </c>
    </row>
    <row r="72" spans="1:27" x14ac:dyDescent="0.3">
      <c r="A72" s="21" t="s">
        <v>40</v>
      </c>
      <c r="B72" t="s">
        <v>41</v>
      </c>
    </row>
    <row r="73" spans="1:27" x14ac:dyDescent="0.3">
      <c r="B73" t="s">
        <v>42</v>
      </c>
    </row>
    <row r="75" spans="1:27" x14ac:dyDescent="0.3">
      <c r="C75" t="s">
        <v>45</v>
      </c>
      <c r="D75" s="35">
        <v>0.98240000000000005</v>
      </c>
    </row>
    <row r="76" spans="1:27" x14ac:dyDescent="0.3">
      <c r="C76" t="s">
        <v>46</v>
      </c>
      <c r="D76" s="35">
        <v>4.1500000000000002E-2</v>
      </c>
    </row>
    <row r="77" spans="1:27" x14ac:dyDescent="0.3">
      <c r="C77" t="s">
        <v>47</v>
      </c>
      <c r="D77">
        <v>8.3000000000000007</v>
      </c>
      <c r="F77" t="s">
        <v>51</v>
      </c>
    </row>
    <row r="78" spans="1:27" x14ac:dyDescent="0.3">
      <c r="C78" t="s">
        <v>48</v>
      </c>
      <c r="D78">
        <v>230</v>
      </c>
    </row>
    <row r="80" spans="1:27" ht="15" thickBot="1" x14ac:dyDescent="0.35">
      <c r="C80" t="s">
        <v>49</v>
      </c>
      <c r="D80" s="35">
        <v>-2.5000000000000001E-3</v>
      </c>
    </row>
    <row r="81" spans="1:27" ht="15" thickBot="1" x14ac:dyDescent="0.35">
      <c r="N81" s="29"/>
      <c r="O81" s="37">
        <v>-1.0500000000000001E-2</v>
      </c>
      <c r="Q81" s="29"/>
      <c r="R81" s="37">
        <v>5.0000000000000001E-4</v>
      </c>
      <c r="T81" s="29"/>
      <c r="U81" s="37">
        <v>1.4999999999999999E-2</v>
      </c>
      <c r="W81" s="29"/>
      <c r="X81" s="37">
        <v>0.02</v>
      </c>
      <c r="Z81" s="29"/>
      <c r="AA81" s="37">
        <v>2.5000000000000001E-2</v>
      </c>
    </row>
    <row r="82" spans="1:27" ht="15" thickBot="1" x14ac:dyDescent="0.35">
      <c r="C82" t="s">
        <v>50</v>
      </c>
      <c r="E82" s="36">
        <f>-D77*D80/(1+D76)+(D78/2)*(D80/(1+D76))^2</f>
        <v>2.0585799728916779E-2</v>
      </c>
      <c r="N82" s="29"/>
      <c r="O82" s="37">
        <v>-1.0500000000000001E-2</v>
      </c>
      <c r="Q82" s="29"/>
      <c r="R82" s="37">
        <v>5.0000000000000001E-4</v>
      </c>
      <c r="T82" s="29"/>
      <c r="U82" s="37">
        <v>1.4999999999999999E-2</v>
      </c>
      <c r="W82" s="31" t="s">
        <v>18</v>
      </c>
      <c r="X82" s="37">
        <v>0.02</v>
      </c>
      <c r="Z82" s="29"/>
      <c r="AA82" s="37">
        <v>2.5000000000000001E-2</v>
      </c>
    </row>
    <row r="85" spans="1:27" x14ac:dyDescent="0.3">
      <c r="A85" s="21" t="s">
        <v>65</v>
      </c>
      <c r="B85" t="s">
        <v>52</v>
      </c>
    </row>
    <row r="86" spans="1:27" x14ac:dyDescent="0.3">
      <c r="C86" t="s">
        <v>116</v>
      </c>
    </row>
    <row r="88" spans="1:27" x14ac:dyDescent="0.3">
      <c r="D88" t="s">
        <v>1</v>
      </c>
      <c r="E88" t="s">
        <v>56</v>
      </c>
      <c r="F88" t="s">
        <v>57</v>
      </c>
      <c r="I88" t="s">
        <v>59</v>
      </c>
    </row>
    <row r="89" spans="1:27" x14ac:dyDescent="0.3">
      <c r="C89" t="s">
        <v>53</v>
      </c>
      <c r="D89" s="2">
        <v>58.5</v>
      </c>
      <c r="E89" s="4" t="s">
        <v>58</v>
      </c>
      <c r="F89" s="1">
        <v>1000000</v>
      </c>
      <c r="I89">
        <f>D89*F89/159</f>
        <v>367924.52830188681</v>
      </c>
    </row>
    <row r="90" spans="1:27" x14ac:dyDescent="0.3">
      <c r="C90" t="s">
        <v>54</v>
      </c>
      <c r="D90" s="1">
        <v>1509</v>
      </c>
      <c r="E90" s="4" t="s">
        <v>60</v>
      </c>
      <c r="F90" s="1">
        <v>5000</v>
      </c>
      <c r="I90">
        <f>D90*F90/31.1</f>
        <v>242604.50160771704</v>
      </c>
    </row>
    <row r="91" spans="1:27" x14ac:dyDescent="0.3">
      <c r="C91" t="s">
        <v>55</v>
      </c>
      <c r="D91" s="1">
        <v>5630</v>
      </c>
      <c r="E91" s="4" t="s">
        <v>61</v>
      </c>
      <c r="F91">
        <v>90</v>
      </c>
      <c r="I91">
        <f>D91*F91</f>
        <v>506700</v>
      </c>
    </row>
    <row r="93" spans="1:27" ht="15" thickBot="1" x14ac:dyDescent="0.35">
      <c r="I93">
        <f>SUM(I89:I91)</f>
        <v>1117229.0299096038</v>
      </c>
      <c r="J93" t="s">
        <v>63</v>
      </c>
    </row>
    <row r="94" spans="1:27" ht="15" thickBot="1" x14ac:dyDescent="0.35">
      <c r="N94" s="29"/>
      <c r="O94" s="38">
        <v>1200000</v>
      </c>
      <c r="Q94" s="29"/>
      <c r="R94" s="38">
        <v>900000</v>
      </c>
      <c r="T94" s="29"/>
      <c r="U94" s="38">
        <v>1100000</v>
      </c>
      <c r="W94" s="29"/>
      <c r="X94" s="38">
        <v>800000</v>
      </c>
      <c r="Z94" s="29"/>
      <c r="AA94" s="38">
        <v>1000000</v>
      </c>
    </row>
    <row r="95" spans="1:27" ht="15" thickBot="1" x14ac:dyDescent="0.35">
      <c r="C95" t="s">
        <v>62</v>
      </c>
      <c r="F95" s="4">
        <v>1.0980000000000001</v>
      </c>
      <c r="I95" s="42">
        <f>I93/F95</f>
        <v>1017512.7776954497</v>
      </c>
      <c r="J95" t="s">
        <v>64</v>
      </c>
      <c r="N95" s="29"/>
      <c r="O95" s="38">
        <v>1200000</v>
      </c>
      <c r="Q95" s="29"/>
      <c r="R95" s="38">
        <v>900000</v>
      </c>
      <c r="T95" s="29"/>
      <c r="U95" s="38">
        <v>1100000</v>
      </c>
      <c r="W95" s="29"/>
      <c r="X95" s="38">
        <v>800000</v>
      </c>
      <c r="Z95" s="31" t="s">
        <v>18</v>
      </c>
      <c r="AA95" s="38">
        <v>1000000</v>
      </c>
    </row>
    <row r="98" spans="1:27" x14ac:dyDescent="0.3">
      <c r="A98" s="21" t="s">
        <v>73</v>
      </c>
      <c r="B98" t="s">
        <v>66</v>
      </c>
    </row>
    <row r="99" spans="1:27" x14ac:dyDescent="0.3">
      <c r="B99" t="s">
        <v>67</v>
      </c>
    </row>
    <row r="101" spans="1:27" x14ac:dyDescent="0.3">
      <c r="C101">
        <v>0</v>
      </c>
      <c r="D101" s="39">
        <v>-1.03</v>
      </c>
    </row>
    <row r="102" spans="1:27" x14ac:dyDescent="0.3">
      <c r="C102">
        <v>1</v>
      </c>
      <c r="D102" s="39">
        <v>0.02</v>
      </c>
      <c r="F102" t="s">
        <v>68</v>
      </c>
    </row>
    <row r="103" spans="1:27" x14ac:dyDescent="0.3">
      <c r="C103">
        <v>2</v>
      </c>
      <c r="D103" s="39">
        <v>0.02</v>
      </c>
      <c r="F103" t="s">
        <v>71</v>
      </c>
    </row>
    <row r="104" spans="1:27" x14ac:dyDescent="0.3">
      <c r="C104">
        <v>3</v>
      </c>
      <c r="D104" s="39">
        <v>0.02</v>
      </c>
      <c r="F104" t="s">
        <v>69</v>
      </c>
    </row>
    <row r="105" spans="1:27" x14ac:dyDescent="0.3">
      <c r="C105">
        <v>4</v>
      </c>
      <c r="D105" s="39">
        <v>0.02</v>
      </c>
      <c r="F105" t="s">
        <v>70</v>
      </c>
      <c r="I105" s="40">
        <f>(2%/1%)+((1%-2%)/1%)*(1.01)^-5</f>
        <v>1.0485343123932511</v>
      </c>
    </row>
    <row r="106" spans="1:27" ht="15" thickBot="1" x14ac:dyDescent="0.35">
      <c r="C106">
        <v>5</v>
      </c>
      <c r="D106" s="39">
        <v>1.02</v>
      </c>
    </row>
    <row r="107" spans="1:27" ht="15" thickBot="1" x14ac:dyDescent="0.35">
      <c r="F107" t="s">
        <v>72</v>
      </c>
      <c r="N107" s="29"/>
      <c r="O107" s="37">
        <v>0.01</v>
      </c>
      <c r="Q107" s="29"/>
      <c r="R107" s="37">
        <v>1.4E-2</v>
      </c>
      <c r="T107" s="29"/>
      <c r="U107" s="37">
        <v>1.7000000000000001E-2</v>
      </c>
      <c r="W107" s="29"/>
      <c r="X107" s="37">
        <v>0.02</v>
      </c>
      <c r="Z107" s="29"/>
      <c r="AA107" s="37">
        <v>2.3E-2</v>
      </c>
    </row>
    <row r="108" spans="1:27" ht="15" thickBot="1" x14ac:dyDescent="0.35">
      <c r="D108" s="41">
        <f>IRR(D101:D106)</f>
        <v>1.3750242445024874E-2</v>
      </c>
      <c r="I108" s="41">
        <f>1%+(2%-1%)*((104.85%-103%)/(104.85%-100%))</f>
        <v>1.3814432989690715E-2</v>
      </c>
      <c r="N108" s="29"/>
      <c r="O108" s="37">
        <v>0.01</v>
      </c>
      <c r="Q108" s="31" t="s">
        <v>18</v>
      </c>
      <c r="R108" s="37">
        <v>1.4E-2</v>
      </c>
      <c r="T108" s="29"/>
      <c r="U108" s="37">
        <v>1.7000000000000001E-2</v>
      </c>
      <c r="W108" s="29"/>
      <c r="X108" s="37">
        <v>0.02</v>
      </c>
      <c r="Z108" s="29"/>
      <c r="AA108" s="37">
        <v>2.3E-2</v>
      </c>
    </row>
    <row r="111" spans="1:27" x14ac:dyDescent="0.3">
      <c r="A111" s="21" t="s">
        <v>87</v>
      </c>
      <c r="B111" s="59" t="s">
        <v>74</v>
      </c>
      <c r="C111" s="48"/>
      <c r="D111" s="49"/>
      <c r="E111" s="49"/>
      <c r="F111" s="49"/>
      <c r="G111" s="49"/>
      <c r="H111" s="49"/>
      <c r="I111" s="49"/>
      <c r="J111" s="49"/>
    </row>
    <row r="112" spans="1:27" x14ac:dyDescent="0.3">
      <c r="B112" s="60" t="s">
        <v>76</v>
      </c>
      <c r="C112" s="50"/>
      <c r="D112" s="49"/>
      <c r="E112" s="49"/>
      <c r="F112" s="49"/>
      <c r="G112" s="49"/>
      <c r="H112" s="49"/>
      <c r="I112" s="49"/>
      <c r="J112" s="49"/>
    </row>
    <row r="113" spans="1:27" x14ac:dyDescent="0.3">
      <c r="C113" s="2"/>
    </row>
    <row r="114" spans="1:27" x14ac:dyDescent="0.3">
      <c r="B114" t="s">
        <v>75</v>
      </c>
      <c r="D114" s="43">
        <v>1.48</v>
      </c>
      <c r="E114" s="43">
        <v>1.5</v>
      </c>
      <c r="G114" s="44" t="s">
        <v>79</v>
      </c>
    </row>
    <row r="115" spans="1:27" x14ac:dyDescent="0.3">
      <c r="B115" t="s">
        <v>78</v>
      </c>
      <c r="D115" s="40">
        <v>2E-3</v>
      </c>
      <c r="E115" s="35">
        <v>4.0000000000000001E-3</v>
      </c>
      <c r="G115" s="44"/>
      <c r="I115" s="45">
        <f>1/E114</f>
        <v>0.66666666666666663</v>
      </c>
      <c r="J115" s="45">
        <f>1/D114</f>
        <v>0.67567567567567566</v>
      </c>
    </row>
    <row r="116" spans="1:27" x14ac:dyDescent="0.3">
      <c r="B116" t="s">
        <v>77</v>
      </c>
      <c r="D116" s="40">
        <v>1.0999999999999999E-2</v>
      </c>
      <c r="E116" s="35">
        <v>1.2999999999999999E-2</v>
      </c>
      <c r="G116" s="44"/>
      <c r="I116" s="45"/>
      <c r="J116" s="45"/>
    </row>
    <row r="118" spans="1:27" ht="15" thickBot="1" x14ac:dyDescent="0.35">
      <c r="C118" s="43"/>
      <c r="G118" s="44"/>
      <c r="I118" s="45"/>
      <c r="J118" s="45"/>
    </row>
    <row r="119" spans="1:27" ht="15" thickBot="1" x14ac:dyDescent="0.35">
      <c r="B119" s="46" t="s">
        <v>80</v>
      </c>
      <c r="C119" s="82"/>
      <c r="D119" s="83">
        <f>I115*(1+D115/4)/(1+E116/4)</f>
        <v>0.66483927236481433</v>
      </c>
      <c r="E119" s="84">
        <f>J115*(1+E115/4)/(1+D116/4)</f>
        <v>0.67449648601481049</v>
      </c>
      <c r="G119" t="s">
        <v>81</v>
      </c>
      <c r="N119" s="29"/>
      <c r="O119" s="38" t="s">
        <v>83</v>
      </c>
      <c r="Q119" s="29"/>
      <c r="R119" s="38" t="s">
        <v>82</v>
      </c>
      <c r="T119" s="29"/>
      <c r="U119" s="38" t="s">
        <v>84</v>
      </c>
      <c r="W119" s="29"/>
      <c r="X119" s="38" t="s">
        <v>85</v>
      </c>
      <c r="Z119" s="29"/>
      <c r="AA119" s="38" t="s">
        <v>86</v>
      </c>
    </row>
    <row r="120" spans="1:27" ht="15" thickBot="1" x14ac:dyDescent="0.35">
      <c r="I120" s="47">
        <f>1/E119</f>
        <v>1.4825874125874128</v>
      </c>
      <c r="J120" s="47">
        <f>1/D119</f>
        <v>1.5041229385307346</v>
      </c>
      <c r="N120" s="29"/>
      <c r="O120" s="38" t="s">
        <v>83</v>
      </c>
      <c r="Q120" s="31" t="s">
        <v>18</v>
      </c>
      <c r="R120" s="38" t="s">
        <v>82</v>
      </c>
      <c r="T120" s="29"/>
      <c r="U120" s="38" t="s">
        <v>84</v>
      </c>
      <c r="W120" s="29"/>
      <c r="X120" s="38" t="s">
        <v>85</v>
      </c>
      <c r="Z120" s="29"/>
      <c r="AA120" s="38" t="s">
        <v>86</v>
      </c>
    </row>
    <row r="123" spans="1:27" x14ac:dyDescent="0.3">
      <c r="A123" s="21" t="s">
        <v>94</v>
      </c>
      <c r="B123" t="s">
        <v>88</v>
      </c>
    </row>
    <row r="124" spans="1:27" x14ac:dyDescent="0.3">
      <c r="B124" t="s">
        <v>89</v>
      </c>
    </row>
    <row r="126" spans="1:27" x14ac:dyDescent="0.3">
      <c r="C126" t="s">
        <v>90</v>
      </c>
      <c r="D126" t="s">
        <v>91</v>
      </c>
      <c r="E126" t="s">
        <v>92</v>
      </c>
      <c r="F126" t="s">
        <v>93</v>
      </c>
      <c r="I126" t="s">
        <v>47</v>
      </c>
    </row>
    <row r="127" spans="1:27" x14ac:dyDescent="0.3">
      <c r="B127">
        <v>0</v>
      </c>
    </row>
    <row r="128" spans="1:27" x14ac:dyDescent="0.3">
      <c r="B128">
        <v>1</v>
      </c>
      <c r="C128" s="39">
        <v>0.02</v>
      </c>
      <c r="E128" s="39">
        <f>C128+D128</f>
        <v>0.02</v>
      </c>
      <c r="F128" s="40">
        <f>E128/(1.03)^B128</f>
        <v>1.9417475728155338E-2</v>
      </c>
      <c r="I128" s="51">
        <f>B128*F128</f>
        <v>1.9417475728155338E-2</v>
      </c>
    </row>
    <row r="129" spans="1:27" x14ac:dyDescent="0.3">
      <c r="B129">
        <v>2</v>
      </c>
      <c r="C129" s="39">
        <v>0.02</v>
      </c>
      <c r="D129" s="39">
        <v>0.5</v>
      </c>
      <c r="E129" s="39">
        <f t="shared" ref="E129:E130" si="0">C129+D129</f>
        <v>0.52</v>
      </c>
      <c r="F129" s="40">
        <f>E129/(1.03)^B129</f>
        <v>0.4901498727495523</v>
      </c>
      <c r="I129" s="51">
        <f t="shared" ref="I129:I130" si="1">B129*F129</f>
        <v>0.98029974549910459</v>
      </c>
    </row>
    <row r="130" spans="1:27" ht="15" thickBot="1" x14ac:dyDescent="0.35">
      <c r="B130">
        <v>3</v>
      </c>
      <c r="C130" s="39">
        <v>0.01</v>
      </c>
      <c r="D130" s="39">
        <v>0.5</v>
      </c>
      <c r="E130" s="39">
        <f t="shared" si="0"/>
        <v>0.51</v>
      </c>
      <c r="F130" s="40">
        <f>E130/(1.03)^B130</f>
        <v>0.46672224627011138</v>
      </c>
      <c r="I130" s="51">
        <f t="shared" si="1"/>
        <v>1.4001667388103343</v>
      </c>
    </row>
    <row r="131" spans="1:27" ht="15" thickBot="1" x14ac:dyDescent="0.35">
      <c r="I131" s="4"/>
      <c r="N131" s="29"/>
      <c r="O131" s="53">
        <v>2</v>
      </c>
      <c r="P131" s="54"/>
      <c r="Q131" s="55"/>
      <c r="R131" s="53">
        <v>2.2000000000000002</v>
      </c>
      <c r="S131" s="54"/>
      <c r="T131" s="55"/>
      <c r="U131" s="53">
        <v>2.4</v>
      </c>
      <c r="V131" s="54"/>
      <c r="W131" s="55"/>
      <c r="X131" s="53">
        <v>2.6</v>
      </c>
      <c r="Y131" s="54"/>
      <c r="Z131" s="55"/>
      <c r="AA131" s="53">
        <v>2.8</v>
      </c>
    </row>
    <row r="132" spans="1:27" ht="15" thickBot="1" x14ac:dyDescent="0.35">
      <c r="F132" s="35">
        <f>SUM(F128:F130)</f>
        <v>0.97628959474781907</v>
      </c>
      <c r="I132" s="52">
        <f>SUM(I128:I130)/F132</f>
        <v>2.4581681223976348</v>
      </c>
      <c r="N132" s="29"/>
      <c r="O132" s="53">
        <v>2</v>
      </c>
      <c r="P132" s="54"/>
      <c r="Q132" s="55"/>
      <c r="R132" s="53">
        <v>2.2000000000000002</v>
      </c>
      <c r="S132" s="54"/>
      <c r="T132" s="31" t="s">
        <v>18</v>
      </c>
      <c r="U132" s="53">
        <v>2.4</v>
      </c>
      <c r="V132" s="54"/>
      <c r="W132" s="55"/>
      <c r="X132" s="53">
        <v>2.6</v>
      </c>
      <c r="Y132" s="54"/>
      <c r="Z132" s="55"/>
      <c r="AA132" s="53">
        <v>2.8</v>
      </c>
    </row>
    <row r="133" spans="1:27" x14ac:dyDescent="0.3">
      <c r="F133" s="35"/>
      <c r="V133" s="54"/>
      <c r="W133" s="58"/>
      <c r="X133" s="57"/>
      <c r="Y133" s="54"/>
      <c r="Z133" s="58"/>
      <c r="AA133" s="57"/>
    </row>
    <row r="135" spans="1:27" x14ac:dyDescent="0.3">
      <c r="A135" s="21" t="s">
        <v>95</v>
      </c>
      <c r="B135" t="s">
        <v>96</v>
      </c>
    </row>
    <row r="136" spans="1:27" x14ac:dyDescent="0.3">
      <c r="B136" s="21" t="s">
        <v>1</v>
      </c>
      <c r="C136" s="61" t="s">
        <v>97</v>
      </c>
      <c r="D136" s="61" t="s">
        <v>98</v>
      </c>
      <c r="E136" s="61" t="s">
        <v>99</v>
      </c>
      <c r="F136" s="61" t="s">
        <v>100</v>
      </c>
      <c r="G136" s="61" t="s">
        <v>101</v>
      </c>
    </row>
    <row r="137" spans="1:27" ht="15" thickBot="1" x14ac:dyDescent="0.35">
      <c r="B137" s="4">
        <v>40</v>
      </c>
      <c r="C137" s="3">
        <v>3500</v>
      </c>
      <c r="D137" s="3">
        <v>4100</v>
      </c>
      <c r="E137" s="4">
        <f>ABS(C137-D137)</f>
        <v>600</v>
      </c>
      <c r="F137" s="1">
        <f>C137</f>
        <v>3500</v>
      </c>
      <c r="G137" s="1">
        <f>D137-D138</f>
        <v>200</v>
      </c>
    </row>
    <row r="138" spans="1:27" ht="15" thickBot="1" x14ac:dyDescent="0.35">
      <c r="B138" s="85">
        <v>39</v>
      </c>
      <c r="C138" s="3">
        <v>4200</v>
      </c>
      <c r="D138" s="86">
        <v>3900</v>
      </c>
      <c r="E138" s="85">
        <f t="shared" ref="E138:E139" si="2">ABS(C138-D138)</f>
        <v>300</v>
      </c>
      <c r="F138" s="1">
        <f>C138-C137</f>
        <v>700</v>
      </c>
      <c r="G138" s="1">
        <f>D138-D139</f>
        <v>400</v>
      </c>
      <c r="N138" s="29"/>
      <c r="O138" s="38" t="s">
        <v>102</v>
      </c>
      <c r="Q138" s="29"/>
      <c r="R138" s="38" t="s">
        <v>103</v>
      </c>
      <c r="T138" s="29"/>
      <c r="U138" s="38" t="s">
        <v>105</v>
      </c>
      <c r="W138" s="29"/>
      <c r="X138" s="38" t="s">
        <v>104</v>
      </c>
      <c r="Z138" s="29"/>
      <c r="AA138" s="38" t="s">
        <v>106</v>
      </c>
    </row>
    <row r="139" spans="1:27" ht="15" thickBot="1" x14ac:dyDescent="0.35">
      <c r="B139" s="4">
        <v>38</v>
      </c>
      <c r="C139" s="3">
        <v>4800</v>
      </c>
      <c r="D139" s="3">
        <v>3500</v>
      </c>
      <c r="E139" s="4">
        <f t="shared" si="2"/>
        <v>1300</v>
      </c>
      <c r="F139" s="1">
        <f>C139-C138</f>
        <v>600</v>
      </c>
      <c r="G139" s="1">
        <f>D139</f>
        <v>3500</v>
      </c>
      <c r="N139" s="31" t="s">
        <v>18</v>
      </c>
      <c r="O139" s="38" t="s">
        <v>102</v>
      </c>
      <c r="Q139" s="29"/>
      <c r="R139" s="38" t="s">
        <v>103</v>
      </c>
      <c r="T139" s="29"/>
      <c r="U139" s="38" t="s">
        <v>105</v>
      </c>
      <c r="W139" s="29"/>
      <c r="X139" s="38" t="s">
        <v>104</v>
      </c>
      <c r="Z139" s="29"/>
      <c r="AA139" s="38" t="s">
        <v>106</v>
      </c>
    </row>
    <row r="140" spans="1:27" ht="15" thickBot="1" x14ac:dyDescent="0.35">
      <c r="B140" s="4"/>
      <c r="C140" s="3"/>
      <c r="D140" s="3"/>
      <c r="E140" s="4"/>
      <c r="F140" s="1"/>
      <c r="G140" s="1"/>
      <c r="O140" s="65"/>
      <c r="Q140" s="56"/>
      <c r="R140" s="65"/>
      <c r="T140" s="56"/>
      <c r="U140" s="65"/>
      <c r="W140" s="56"/>
      <c r="X140" s="65"/>
      <c r="Z140" s="56"/>
      <c r="AA140" s="65"/>
    </row>
    <row r="141" spans="1:27" x14ac:dyDescent="0.3">
      <c r="B141" s="66" t="s">
        <v>112</v>
      </c>
      <c r="C141" s="67">
        <v>39</v>
      </c>
      <c r="D141" s="68" t="s">
        <v>113</v>
      </c>
      <c r="E141" s="69"/>
      <c r="F141" s="70">
        <v>3900</v>
      </c>
      <c r="G141" s="70"/>
      <c r="H141" s="71"/>
      <c r="I141" s="71"/>
      <c r="J141" s="72"/>
      <c r="O141" s="65"/>
      <c r="Q141" s="56"/>
      <c r="R141" s="65"/>
      <c r="T141" s="56"/>
      <c r="U141" s="65"/>
      <c r="W141" s="56"/>
      <c r="X141" s="65"/>
      <c r="Z141" s="56"/>
      <c r="AA141" s="65"/>
    </row>
    <row r="142" spans="1:27" ht="15" thickBot="1" x14ac:dyDescent="0.35">
      <c r="B142" s="73" t="s">
        <v>114</v>
      </c>
      <c r="C142" s="74"/>
      <c r="D142" s="74"/>
      <c r="E142" s="74"/>
      <c r="F142" s="74"/>
      <c r="G142" s="74"/>
      <c r="H142" s="74"/>
      <c r="I142" s="74"/>
      <c r="J142" s="75"/>
    </row>
    <row r="144" spans="1:27" x14ac:dyDescent="0.3">
      <c r="A144" s="21" t="s">
        <v>107</v>
      </c>
      <c r="B144" t="s">
        <v>117</v>
      </c>
    </row>
    <row r="145" spans="2:27" x14ac:dyDescent="0.3">
      <c r="B145" t="s">
        <v>110</v>
      </c>
    </row>
    <row r="146" spans="2:27" x14ac:dyDescent="0.3">
      <c r="B146" t="s">
        <v>108</v>
      </c>
      <c r="D146" s="35">
        <v>2.6499999999999999E-2</v>
      </c>
    </row>
    <row r="147" spans="2:27" ht="16.2" thickBot="1" x14ac:dyDescent="0.4">
      <c r="B147" t="s">
        <v>111</v>
      </c>
      <c r="D147" s="40">
        <f>(1+2.25%)^4/(1+2.1%)^3-1</f>
        <v>2.7013235286177828E-2</v>
      </c>
    </row>
    <row r="148" spans="2:27" ht="15" thickBot="1" x14ac:dyDescent="0.35">
      <c r="N148" s="29"/>
      <c r="O148" s="38">
        <v>30000</v>
      </c>
      <c r="Q148" s="29"/>
      <c r="R148" s="38">
        <v>50000</v>
      </c>
      <c r="T148" s="29"/>
      <c r="U148" s="38">
        <v>60000</v>
      </c>
      <c r="W148" s="29"/>
      <c r="X148" s="38">
        <v>-60000</v>
      </c>
      <c r="Z148" s="29"/>
      <c r="AA148" s="38">
        <v>-50000</v>
      </c>
    </row>
    <row r="149" spans="2:27" ht="15" thickBot="1" x14ac:dyDescent="0.35">
      <c r="B149" s="62" t="s">
        <v>109</v>
      </c>
      <c r="C149" s="64"/>
      <c r="D149" s="63">
        <f>120000000*(D146-D147)/(1+D146)</f>
        <v>-59998.279923370144</v>
      </c>
      <c r="N149" s="29"/>
      <c r="O149" s="38">
        <v>30000</v>
      </c>
      <c r="Q149" s="29"/>
      <c r="R149" s="38">
        <v>50000</v>
      </c>
      <c r="T149" s="29"/>
      <c r="U149" s="38">
        <v>60000</v>
      </c>
      <c r="W149" s="31" t="s">
        <v>18</v>
      </c>
      <c r="X149" s="38">
        <v>-60000</v>
      </c>
      <c r="Z149" s="29"/>
      <c r="AA149" s="38">
        <v>-50000</v>
      </c>
    </row>
  </sheetData>
  <mergeCells count="18">
    <mergeCell ref="C44:F44"/>
    <mergeCell ref="C45:D45"/>
    <mergeCell ref="E45:F45"/>
    <mergeCell ref="C52:F52"/>
    <mergeCell ref="C53:D53"/>
    <mergeCell ref="E53:F53"/>
    <mergeCell ref="C24:F24"/>
    <mergeCell ref="C25:D25"/>
    <mergeCell ref="E25:F25"/>
    <mergeCell ref="C32:F32"/>
    <mergeCell ref="C33:D33"/>
    <mergeCell ref="E33:F33"/>
    <mergeCell ref="C6:D6"/>
    <mergeCell ref="E6:F6"/>
    <mergeCell ref="C5:F5"/>
    <mergeCell ref="C17:F17"/>
    <mergeCell ref="C18:D18"/>
    <mergeCell ref="E18:F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sqref="A1:C3"/>
    </sheetView>
  </sheetViews>
  <sheetFormatPr baseColWidth="10" defaultRowHeight="14.4" x14ac:dyDescent="0.3"/>
  <cols>
    <col min="2" max="2" width="23.88671875" customWidth="1"/>
    <col min="5" max="14" width="6.33203125" customWidth="1"/>
  </cols>
  <sheetData>
    <row r="1" spans="1:14" x14ac:dyDescent="0.3">
      <c r="A1" s="20" t="s">
        <v>120</v>
      </c>
      <c r="C1" t="s">
        <v>134</v>
      </c>
    </row>
    <row r="2" spans="1:14" x14ac:dyDescent="0.3">
      <c r="A2" s="20" t="s">
        <v>121</v>
      </c>
    </row>
    <row r="3" spans="1:14" x14ac:dyDescent="0.3">
      <c r="A3" s="20" t="s">
        <v>122</v>
      </c>
    </row>
    <row r="4" spans="1:14" x14ac:dyDescent="0.3">
      <c r="A4" s="20"/>
    </row>
    <row r="5" spans="1:14" x14ac:dyDescent="0.3">
      <c r="A5" s="20"/>
    </row>
    <row r="6" spans="1:14" x14ac:dyDescent="0.3">
      <c r="A6" s="20"/>
    </row>
    <row r="7" spans="1:14" x14ac:dyDescent="0.3">
      <c r="C7" s="21" t="s">
        <v>135</v>
      </c>
      <c r="D7" s="20"/>
      <c r="E7" s="21" t="s">
        <v>136</v>
      </c>
      <c r="F7" s="21" t="s">
        <v>137</v>
      </c>
      <c r="G7" s="21" t="s">
        <v>138</v>
      </c>
      <c r="H7" s="21" t="s">
        <v>139</v>
      </c>
      <c r="I7" s="21" t="s">
        <v>140</v>
      </c>
      <c r="J7" s="21" t="s">
        <v>141</v>
      </c>
      <c r="K7" s="21" t="s">
        <v>142</v>
      </c>
      <c r="L7" s="21" t="s">
        <v>143</v>
      </c>
      <c r="M7" s="21" t="s">
        <v>144</v>
      </c>
      <c r="N7" s="21" t="s">
        <v>107</v>
      </c>
    </row>
    <row r="8" spans="1:14" ht="15.6" x14ac:dyDescent="0.3">
      <c r="A8" s="87" t="s">
        <v>123</v>
      </c>
      <c r="B8" s="88" t="s">
        <v>124</v>
      </c>
      <c r="C8" s="90">
        <f>SUM(E8:N8)</f>
        <v>16</v>
      </c>
      <c r="E8" s="4">
        <v>2</v>
      </c>
      <c r="F8" s="4">
        <v>2</v>
      </c>
      <c r="G8" s="4">
        <v>2</v>
      </c>
      <c r="H8" s="4">
        <v>2</v>
      </c>
      <c r="I8" s="4">
        <v>0</v>
      </c>
      <c r="J8" s="4">
        <v>2</v>
      </c>
      <c r="K8" s="4">
        <v>2</v>
      </c>
      <c r="L8" s="4">
        <v>0</v>
      </c>
      <c r="M8" s="4">
        <v>2</v>
      </c>
      <c r="N8" s="4">
        <v>2</v>
      </c>
    </row>
    <row r="9" spans="1:14" ht="15.6" x14ac:dyDescent="0.3">
      <c r="A9" s="87" t="s">
        <v>123</v>
      </c>
      <c r="B9" s="88" t="s">
        <v>125</v>
      </c>
      <c r="C9" s="90">
        <f t="shared" ref="C9:C16" si="0">SUM(E9:N9)</f>
        <v>12</v>
      </c>
      <c r="E9" s="4">
        <v>0</v>
      </c>
      <c r="F9" s="4">
        <v>2</v>
      </c>
      <c r="G9" s="4">
        <v>2</v>
      </c>
      <c r="H9" s="4">
        <v>2</v>
      </c>
      <c r="I9" s="4">
        <v>0</v>
      </c>
      <c r="J9" s="4">
        <v>2</v>
      </c>
      <c r="K9" s="4">
        <v>0</v>
      </c>
      <c r="L9" s="4">
        <v>0</v>
      </c>
      <c r="M9" s="4">
        <v>2</v>
      </c>
      <c r="N9" s="4">
        <v>2</v>
      </c>
    </row>
    <row r="10" spans="1:14" ht="15.6" x14ac:dyDescent="0.3">
      <c r="A10" s="87" t="s">
        <v>123</v>
      </c>
      <c r="B10" s="88" t="s">
        <v>126</v>
      </c>
      <c r="C10" s="90">
        <f t="shared" si="0"/>
        <v>12</v>
      </c>
      <c r="E10" s="4">
        <v>0</v>
      </c>
      <c r="F10" s="4">
        <v>2</v>
      </c>
      <c r="G10" s="4">
        <v>0</v>
      </c>
      <c r="H10" s="4">
        <v>0</v>
      </c>
      <c r="I10" s="4">
        <v>2</v>
      </c>
      <c r="J10" s="4">
        <v>2</v>
      </c>
      <c r="K10" s="4">
        <v>2</v>
      </c>
      <c r="L10" s="4">
        <v>0</v>
      </c>
      <c r="M10" s="4">
        <v>2</v>
      </c>
      <c r="N10" s="4">
        <v>2</v>
      </c>
    </row>
    <row r="11" spans="1:14" ht="15.6" x14ac:dyDescent="0.3">
      <c r="A11" s="87" t="s">
        <v>127</v>
      </c>
      <c r="B11" s="88" t="s">
        <v>128</v>
      </c>
      <c r="C11" s="90">
        <f t="shared" si="0"/>
        <v>16</v>
      </c>
      <c r="E11" s="4">
        <v>2</v>
      </c>
      <c r="F11" s="4">
        <v>2</v>
      </c>
      <c r="G11" s="4">
        <v>2</v>
      </c>
      <c r="H11" s="4">
        <v>2</v>
      </c>
      <c r="I11" s="4">
        <v>0</v>
      </c>
      <c r="J11" s="4">
        <v>2</v>
      </c>
      <c r="K11" s="4">
        <v>2</v>
      </c>
      <c r="L11" s="4">
        <v>0</v>
      </c>
      <c r="M11" s="4">
        <v>2</v>
      </c>
      <c r="N11" s="4">
        <v>2</v>
      </c>
    </row>
    <row r="12" spans="1:14" ht="15.6" x14ac:dyDescent="0.3">
      <c r="A12" s="87" t="s">
        <v>127</v>
      </c>
      <c r="B12" s="88" t="s">
        <v>129</v>
      </c>
      <c r="C12" s="90">
        <f t="shared" si="0"/>
        <v>6</v>
      </c>
      <c r="E12" s="4">
        <v>0</v>
      </c>
      <c r="F12" s="4">
        <v>0</v>
      </c>
      <c r="G12" s="4">
        <v>2</v>
      </c>
      <c r="H12" s="4">
        <v>0</v>
      </c>
      <c r="I12" s="4">
        <v>2</v>
      </c>
      <c r="J12" s="4">
        <v>0</v>
      </c>
      <c r="K12" s="4">
        <v>0</v>
      </c>
      <c r="L12" s="4">
        <v>0</v>
      </c>
      <c r="M12" s="4">
        <v>2</v>
      </c>
      <c r="N12" s="4">
        <v>0</v>
      </c>
    </row>
    <row r="13" spans="1:14" ht="15.6" x14ac:dyDescent="0.3">
      <c r="A13" s="87" t="s">
        <v>127</v>
      </c>
      <c r="B13" s="88" t="s">
        <v>130</v>
      </c>
      <c r="C13" s="90">
        <f t="shared" si="0"/>
        <v>14</v>
      </c>
      <c r="E13" s="4">
        <v>0</v>
      </c>
      <c r="F13" s="4">
        <v>2</v>
      </c>
      <c r="G13" s="4">
        <v>2</v>
      </c>
      <c r="H13" s="4">
        <v>2</v>
      </c>
      <c r="I13" s="4">
        <v>2</v>
      </c>
      <c r="J13" s="4">
        <v>2</v>
      </c>
      <c r="K13" s="4">
        <v>0</v>
      </c>
      <c r="L13" s="4">
        <v>0</v>
      </c>
      <c r="M13" s="4">
        <v>2</v>
      </c>
      <c r="N13" s="4">
        <v>2</v>
      </c>
    </row>
    <row r="14" spans="1:14" ht="15.6" x14ac:dyDescent="0.3">
      <c r="A14" s="87" t="s">
        <v>127</v>
      </c>
      <c r="B14" s="88" t="s">
        <v>131</v>
      </c>
      <c r="C14" s="90">
        <f t="shared" si="0"/>
        <v>8</v>
      </c>
      <c r="E14" s="4">
        <v>2</v>
      </c>
      <c r="F14" s="4">
        <v>0</v>
      </c>
      <c r="G14" s="4">
        <v>2</v>
      </c>
      <c r="H14" s="4">
        <v>0</v>
      </c>
      <c r="I14" s="4">
        <v>2</v>
      </c>
      <c r="J14" s="4">
        <v>0</v>
      </c>
      <c r="K14" s="4">
        <v>0</v>
      </c>
      <c r="L14" s="4">
        <v>0</v>
      </c>
      <c r="M14" s="4">
        <v>2</v>
      </c>
      <c r="N14" s="4">
        <v>0</v>
      </c>
    </row>
    <row r="15" spans="1:14" ht="15.6" x14ac:dyDescent="0.3">
      <c r="A15" s="87" t="s">
        <v>127</v>
      </c>
      <c r="B15" s="88" t="s">
        <v>132</v>
      </c>
      <c r="C15" s="90">
        <f t="shared" si="0"/>
        <v>18</v>
      </c>
      <c r="E15" s="4">
        <v>2</v>
      </c>
      <c r="F15" s="4">
        <v>2</v>
      </c>
      <c r="G15" s="4">
        <v>2</v>
      </c>
      <c r="H15" s="4">
        <v>2</v>
      </c>
      <c r="I15" s="4">
        <v>2</v>
      </c>
      <c r="J15" s="4">
        <v>2</v>
      </c>
      <c r="K15" s="4">
        <v>2</v>
      </c>
      <c r="L15" s="4">
        <v>0</v>
      </c>
      <c r="M15" s="4">
        <v>2</v>
      </c>
      <c r="N15" s="4">
        <v>2</v>
      </c>
    </row>
    <row r="16" spans="1:14" ht="15.6" x14ac:dyDescent="0.3">
      <c r="A16" s="87" t="s">
        <v>123</v>
      </c>
      <c r="B16" s="88" t="s">
        <v>133</v>
      </c>
      <c r="C16" s="90">
        <f t="shared" si="0"/>
        <v>14</v>
      </c>
      <c r="E16" s="4">
        <v>0</v>
      </c>
      <c r="F16" s="4">
        <v>2</v>
      </c>
      <c r="G16" s="4">
        <v>2</v>
      </c>
      <c r="H16" s="4">
        <v>2</v>
      </c>
      <c r="I16" s="4">
        <v>2</v>
      </c>
      <c r="J16" s="4">
        <v>2</v>
      </c>
      <c r="K16" s="4">
        <v>0</v>
      </c>
      <c r="L16" s="4">
        <v>0</v>
      </c>
      <c r="M16" s="4">
        <v>2</v>
      </c>
      <c r="N16" s="4">
        <v>2</v>
      </c>
    </row>
    <row r="18" spans="2:14" ht="15.6" x14ac:dyDescent="0.3">
      <c r="B18" s="88" t="s">
        <v>145</v>
      </c>
      <c r="C18" s="89">
        <f>AVERAGE(C8:C16)</f>
        <v>12.888888888888889</v>
      </c>
      <c r="E18" s="92">
        <f>AVERAGE(E8:E16)</f>
        <v>0.88888888888888884</v>
      </c>
      <c r="F18" s="92">
        <f t="shared" ref="F18:N18" si="1">AVERAGE(F8:F16)</f>
        <v>1.5555555555555556</v>
      </c>
      <c r="G18" s="92">
        <f t="shared" si="1"/>
        <v>1.7777777777777777</v>
      </c>
      <c r="H18" s="92">
        <f t="shared" si="1"/>
        <v>1.3333333333333333</v>
      </c>
      <c r="I18" s="92">
        <f t="shared" si="1"/>
        <v>1.3333333333333333</v>
      </c>
      <c r="J18" s="92">
        <f t="shared" si="1"/>
        <v>1.5555555555555556</v>
      </c>
      <c r="K18" s="92">
        <f t="shared" si="1"/>
        <v>0.88888888888888884</v>
      </c>
      <c r="L18" s="93">
        <f t="shared" si="1"/>
        <v>0</v>
      </c>
      <c r="M18" s="94">
        <f t="shared" si="1"/>
        <v>2</v>
      </c>
      <c r="N18" s="92">
        <f t="shared" si="1"/>
        <v>1.5555555555555556</v>
      </c>
    </row>
    <row r="19" spans="2:14" ht="15.6" x14ac:dyDescent="0.3">
      <c r="B19" s="88" t="s">
        <v>150</v>
      </c>
      <c r="C19" s="91">
        <f>MEDIAN(C8:C16)</f>
        <v>14</v>
      </c>
    </row>
    <row r="20" spans="2:14" ht="15.6" x14ac:dyDescent="0.3">
      <c r="B20" s="88" t="s">
        <v>146</v>
      </c>
      <c r="C20" s="89">
        <f>STDEV(C8:C16)</f>
        <v>3.8873012632302006</v>
      </c>
    </row>
    <row r="21" spans="2:14" ht="15.6" x14ac:dyDescent="0.3">
      <c r="B21" s="88" t="s">
        <v>147</v>
      </c>
      <c r="C21" s="91">
        <f>MIN(C8:C16)</f>
        <v>6</v>
      </c>
    </row>
    <row r="22" spans="2:14" ht="15.6" x14ac:dyDescent="0.3">
      <c r="B22" s="88" t="s">
        <v>148</v>
      </c>
      <c r="C22" s="91">
        <f>MAX(C8:C16)</f>
        <v>18</v>
      </c>
    </row>
    <row r="23" spans="2:14" ht="15.6" x14ac:dyDescent="0.3">
      <c r="B23" s="88" t="s">
        <v>149</v>
      </c>
      <c r="C23" s="4">
        <f>COUNTIF(C8:C16,"&gt;=10")</f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Solution</vt:lpstr>
      <vt:lpstr>Notes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FRANCOIS-HEUDE</dc:creator>
  <cp:lastModifiedBy>FRANCOIS-HEUDE</cp:lastModifiedBy>
  <dcterms:created xsi:type="dcterms:W3CDTF">2019-10-06T14:57:00Z</dcterms:created>
  <dcterms:modified xsi:type="dcterms:W3CDTF">2019-10-07T16:24:28Z</dcterms:modified>
</cp:coreProperties>
</file>