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5600" windowHeight="10056"/>
  </bookViews>
  <sheets>
    <sheet name="Corrigé 1" sheetId="1" r:id="rId1"/>
    <sheet name="Corrigé 2" sheetId="3" r:id="rId2"/>
    <sheet name="Notes" sheetId="2" r:id="rId3"/>
  </sheets>
  <calcPr calcId="145621"/>
</workbook>
</file>

<file path=xl/calcChain.xml><?xml version="1.0" encoding="utf-8"?>
<calcChain xmlns="http://schemas.openxmlformats.org/spreadsheetml/2006/main">
  <c r="B10" i="2" l="1"/>
  <c r="H164" i="3"/>
  <c r="H152" i="3"/>
  <c r="C152" i="3"/>
  <c r="G149" i="3"/>
  <c r="G148" i="3" s="1"/>
  <c r="H148" i="3" s="1"/>
  <c r="F149" i="3"/>
  <c r="F150" i="3" s="1"/>
  <c r="H150" i="3" s="1"/>
  <c r="D142" i="3"/>
  <c r="C142" i="3"/>
  <c r="F129" i="3"/>
  <c r="H128" i="3"/>
  <c r="F128" i="3"/>
  <c r="F126" i="3"/>
  <c r="H126" i="3" s="1"/>
  <c r="H125" i="3"/>
  <c r="G125" i="3"/>
  <c r="G129" i="3" s="1"/>
  <c r="G127" i="3" s="1"/>
  <c r="F125" i="3"/>
  <c r="H124" i="3"/>
  <c r="F124" i="3"/>
  <c r="H123" i="3"/>
  <c r="F115" i="3"/>
  <c r="F116" i="3" s="1"/>
  <c r="F113" i="3"/>
  <c r="F109" i="3"/>
  <c r="F108" i="3"/>
  <c r="C103" i="3"/>
  <c r="G101" i="3"/>
  <c r="C100" i="3"/>
  <c r="G99" i="3"/>
  <c r="C98" i="3"/>
  <c r="G92" i="3"/>
  <c r="G93" i="3" s="1"/>
  <c r="C92" i="3"/>
  <c r="G91" i="3"/>
  <c r="D90" i="3"/>
  <c r="H85" i="3"/>
  <c r="H84" i="3"/>
  <c r="H86" i="3" s="1"/>
  <c r="I86" i="3" s="1"/>
  <c r="C83" i="3"/>
  <c r="G82" i="3"/>
  <c r="H129" i="3" l="1"/>
  <c r="H131" i="3"/>
  <c r="J124" i="3" s="1"/>
  <c r="H149" i="3"/>
  <c r="F127" i="3"/>
  <c r="H127" i="3" s="1"/>
  <c r="E26" i="2"/>
  <c r="F26" i="2"/>
  <c r="G26" i="2"/>
  <c r="H26" i="2"/>
  <c r="I26" i="2"/>
  <c r="J26" i="2"/>
  <c r="K26" i="2"/>
  <c r="L26" i="2"/>
  <c r="M26" i="2"/>
  <c r="M31" i="2" s="1"/>
  <c r="D26" i="2"/>
  <c r="B25" i="2"/>
  <c r="B31" i="2"/>
  <c r="B30" i="2"/>
  <c r="B27" i="2"/>
  <c r="B6" i="2"/>
  <c r="B29" i="2" s="1"/>
  <c r="B7" i="2"/>
  <c r="B8" i="2"/>
  <c r="B9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5" i="2"/>
  <c r="I192" i="1"/>
  <c r="J189" i="1"/>
  <c r="J187" i="1"/>
  <c r="J188" i="1"/>
  <c r="J186" i="1"/>
  <c r="F188" i="1"/>
  <c r="F187" i="1"/>
  <c r="K31" i="2" l="1"/>
  <c r="H31" i="2"/>
  <c r="E31" i="2"/>
  <c r="J128" i="3"/>
  <c r="J126" i="3"/>
  <c r="J131" i="3" s="1"/>
  <c r="J125" i="3"/>
  <c r="J127" i="3"/>
  <c r="J129" i="3"/>
  <c r="B26" i="2"/>
  <c r="B28" i="2"/>
  <c r="J178" i="1"/>
  <c r="I178" i="1"/>
  <c r="I177" i="1"/>
  <c r="J176" i="1"/>
  <c r="I176" i="1"/>
  <c r="J172" i="1"/>
  <c r="I172" i="1"/>
  <c r="J171" i="1"/>
  <c r="I171" i="1"/>
  <c r="J177" i="1"/>
  <c r="J170" i="1"/>
  <c r="I170" i="1"/>
  <c r="F189" i="1"/>
  <c r="F186" i="1"/>
  <c r="I160" i="1"/>
  <c r="I163" i="1" s="1"/>
  <c r="D159" i="1"/>
  <c r="D158" i="1"/>
  <c r="C153" i="1"/>
  <c r="K142" i="1"/>
  <c r="F142" i="1"/>
  <c r="F143" i="1"/>
  <c r="F144" i="1"/>
  <c r="F141" i="1"/>
  <c r="F140" i="1"/>
  <c r="F127" i="1"/>
  <c r="H127" i="1" s="1"/>
  <c r="J127" i="1" s="1"/>
  <c r="F128" i="1"/>
  <c r="F129" i="1" s="1"/>
  <c r="G124" i="1"/>
  <c r="G129" i="1" s="1"/>
  <c r="G126" i="1" s="1"/>
  <c r="F124" i="1"/>
  <c r="F125" i="1" s="1"/>
  <c r="H123" i="1"/>
  <c r="H115" i="1"/>
  <c r="H116" i="1"/>
  <c r="C114" i="1"/>
  <c r="J95" i="1"/>
  <c r="J94" i="1" s="1"/>
  <c r="J93" i="1" s="1"/>
  <c r="J92" i="1" s="1"/>
  <c r="J91" i="1" s="1"/>
  <c r="J90" i="1" s="1"/>
  <c r="J89" i="1" s="1"/>
  <c r="I89" i="1"/>
  <c r="I90" i="1" s="1"/>
  <c r="I91" i="1" s="1"/>
  <c r="I92" i="1" s="1"/>
  <c r="I93" i="1" s="1"/>
  <c r="I94" i="1" s="1"/>
  <c r="I95" i="1" s="1"/>
  <c r="J180" i="1" l="1"/>
  <c r="F191" i="1"/>
  <c r="F192" i="1" s="1"/>
  <c r="I180" i="1"/>
  <c r="I174" i="1"/>
  <c r="J174" i="1"/>
  <c r="D163" i="1"/>
  <c r="H117" i="1"/>
  <c r="I117" i="1" s="1"/>
  <c r="H128" i="1"/>
  <c r="J128" i="1" s="1"/>
  <c r="K140" i="1"/>
  <c r="H129" i="1"/>
  <c r="J129" i="1" s="1"/>
  <c r="K89" i="1"/>
  <c r="H124" i="1"/>
  <c r="J124" i="1" s="1"/>
  <c r="H125" i="1"/>
  <c r="J125" i="1" s="1"/>
  <c r="F126" i="1"/>
  <c r="H126" i="1" s="1"/>
  <c r="J126" i="1" s="1"/>
  <c r="G113" i="1"/>
  <c r="J113" i="1" s="1"/>
  <c r="J131" i="1" l="1"/>
  <c r="H131" i="1"/>
  <c r="K90" i="1"/>
  <c r="K91" i="1" l="1"/>
  <c r="K92" i="1" l="1"/>
  <c r="K93" i="1" l="1"/>
  <c r="K94" i="1" l="1"/>
  <c r="K95" i="1" l="1"/>
</calcChain>
</file>

<file path=xl/sharedStrings.xml><?xml version="1.0" encoding="utf-8"?>
<sst xmlns="http://schemas.openxmlformats.org/spreadsheetml/2006/main" count="568" uniqueCount="314">
  <si>
    <t>ACHAT</t>
  </si>
  <si>
    <t>VENTE</t>
  </si>
  <si>
    <t>Quantité</t>
  </si>
  <si>
    <t>Cours</t>
  </si>
  <si>
    <t>ordre éxécuté avec</t>
  </si>
  <si>
    <t>X</t>
  </si>
  <si>
    <t>ordre mis en carnet</t>
  </si>
  <si>
    <t>Q1</t>
  </si>
  <si>
    <t>Q2</t>
  </si>
  <si>
    <t>i</t>
  </si>
  <si>
    <t>n</t>
  </si>
  <si>
    <t>r</t>
  </si>
  <si>
    <t>AC</t>
  </si>
  <si>
    <t>Vo</t>
  </si>
  <si>
    <t>Test sur n</t>
  </si>
  <si>
    <t>Interpolation  ==&gt;</t>
  </si>
  <si>
    <t>EUR-GBP</t>
  </si>
  <si>
    <t>USD-CHF</t>
  </si>
  <si>
    <t>kg</t>
  </si>
  <si>
    <t>EUR-USD</t>
  </si>
  <si>
    <t>grammes</t>
  </si>
  <si>
    <t>t</t>
  </si>
  <si>
    <t>$</t>
  </si>
  <si>
    <t>€</t>
  </si>
  <si>
    <t>int</t>
  </si>
  <si>
    <t>rbt</t>
  </si>
  <si>
    <t>Flux</t>
  </si>
  <si>
    <t>Qté Achat</t>
  </si>
  <si>
    <t>Qté Vente</t>
  </si>
  <si>
    <t>TRI</t>
  </si>
  <si>
    <t>Interpolation possible</t>
  </si>
  <si>
    <t>Action X       10:27:35</t>
  </si>
  <si>
    <t>Préciser le BID-ASK en meilleure limite à 10:28:50  sachant que 3 ordres ont été passés</t>
  </si>
  <si>
    <t>Action X       10:27:40</t>
  </si>
  <si>
    <t>Vente  de 13 300 titres à 88,65€</t>
  </si>
  <si>
    <t>Achat de 8 800 titres à 88,70€</t>
  </si>
  <si>
    <t>Action X       10:27:59</t>
  </si>
  <si>
    <t>Achat de 6 400 titres à tout prix</t>
  </si>
  <si>
    <t>4 500 titres à 88,65</t>
  </si>
  <si>
    <t>1 900 titres à 88,70</t>
  </si>
  <si>
    <t>88,60 - 88,65</t>
  </si>
  <si>
    <t>88,60 - 88,70</t>
  </si>
  <si>
    <t>88,55 - 88,60</t>
  </si>
  <si>
    <t>88,55 - 88,70</t>
  </si>
  <si>
    <t>88,55 - 88,65</t>
  </si>
  <si>
    <t>Action X       10:28:50</t>
  </si>
  <si>
    <t>8 800 titres achetés à 88,65€</t>
  </si>
  <si>
    <t>ELEMENTS DE CORRIGE CONTRÔLE M2 FIN IAE SIAD  2018-2019   du 27/09/18</t>
  </si>
  <si>
    <t xml:space="preserve">Préciser le BID-ASK en meilleure limite à 10:26:21 </t>
  </si>
  <si>
    <t>Action X       10:26:34</t>
  </si>
  <si>
    <t>Action X       10:26:31</t>
  </si>
  <si>
    <t>Action X       10:26:21</t>
  </si>
  <si>
    <t>Achat de 2 700 titres à 88,60€</t>
  </si>
  <si>
    <t>Mis en carnet</t>
  </si>
  <si>
    <t>Achat de 2 800 titres à 88,75€</t>
  </si>
  <si>
    <t>Vente de 2 900 titres à tout prix</t>
  </si>
  <si>
    <t>exécuté à 88,70€</t>
  </si>
  <si>
    <t>exécuté à 88,60€</t>
  </si>
  <si>
    <t>Prix</t>
  </si>
  <si>
    <r>
      <t>Marché</t>
    </r>
    <r>
      <rPr>
        <vertAlign val="subscript"/>
        <sz val="9"/>
        <rFont val="Arial"/>
        <family val="2"/>
      </rPr>
      <t>A</t>
    </r>
  </si>
  <si>
    <r>
      <t>Marché</t>
    </r>
    <r>
      <rPr>
        <vertAlign val="subscript"/>
        <sz val="9"/>
        <rFont val="Arial"/>
        <family val="2"/>
      </rPr>
      <t>V</t>
    </r>
  </si>
  <si>
    <t>Cumul Achat</t>
  </si>
  <si>
    <t>Cumul Vente</t>
  </si>
  <si>
    <t>écart absolu</t>
  </si>
  <si>
    <t>PRIX</t>
  </si>
  <si>
    <t>QUANTITE</t>
  </si>
  <si>
    <t>Q3  :  Déterminer le Bid-Ask en meilleure limite après le fixing</t>
  </si>
  <si>
    <t>88,20 - 88,25</t>
  </si>
  <si>
    <t>88,25 - 88,30</t>
  </si>
  <si>
    <t>88,25 - 88,35</t>
  </si>
  <si>
    <t>88,30 - 88,40</t>
  </si>
  <si>
    <t>88,30 - 88,35</t>
  </si>
  <si>
    <r>
      <t>Q4  :  Donner le pourcentage de capital (</t>
    </r>
    <r>
      <rPr>
        <b/>
        <sz val="11"/>
        <color theme="1"/>
        <rFont val="Calibri"/>
        <family val="2"/>
      </rPr>
      <t>µ</t>
    </r>
    <r>
      <rPr>
        <b/>
        <vertAlign val="subscript"/>
        <sz val="11"/>
        <color theme="1"/>
        <rFont val="Times New Roman"/>
        <family val="1"/>
      </rPr>
      <t>n</t>
    </r>
    <r>
      <rPr>
        <b/>
        <sz val="11"/>
        <color theme="1"/>
        <rFont val="Times New Roman"/>
        <family val="1"/>
      </rPr>
      <t>) de la dernière annuité d'un emprunt remboursé par AC  ?</t>
    </r>
  </si>
  <si>
    <t xml:space="preserve"> taux de coupon = 3,6%, taux de rendement  3,80% et Vo = 99,002%</t>
  </si>
  <si>
    <r>
      <t>µ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= AC / (1+i)</t>
    </r>
  </si>
  <si>
    <t>n = 8</t>
  </si>
  <si>
    <t>n = 12</t>
  </si>
  <si>
    <t>Vo(n=8)=</t>
  </si>
  <si>
    <t>Vo(n=12)=</t>
  </si>
  <si>
    <t>Q5  :  Donner le taux de rendement actuariel d'un emprunt remboursé en 3 tranches égales (en t=1, 3 et 6)</t>
  </si>
  <si>
    <t xml:space="preserve">  maturité = n = 6 ans,  taux de coupon i = 4,50%, Vo = 101,04%</t>
  </si>
  <si>
    <t>R1</t>
  </si>
  <si>
    <t>R2</t>
  </si>
  <si>
    <t>R3</t>
  </si>
  <si>
    <t>R4</t>
  </si>
  <si>
    <t>R5</t>
  </si>
  <si>
    <t>f1</t>
  </si>
  <si>
    <t>f2</t>
  </si>
  <si>
    <t>f3</t>
  </si>
  <si>
    <t>f4</t>
  </si>
  <si>
    <t>f5</t>
  </si>
  <si>
    <t>Taux au comptant :  R1 = 3,60%    R2 = 3,80%      R3 = 4,00%     R4 = 3,90%   et R5 = 3,70%</t>
  </si>
  <si>
    <r>
      <t xml:space="preserve"> 'ou   = [(1+R5)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/ (1+R3)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] </t>
    </r>
    <r>
      <rPr>
        <vertAlign val="super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 xml:space="preserve">  - 1</t>
    </r>
  </si>
  <si>
    <t>AUD-CHF</t>
  </si>
  <si>
    <t>EUR-AUD</t>
  </si>
  <si>
    <t>USD-EUR</t>
  </si>
  <si>
    <t xml:space="preserve"> et des taux d'intérêt au comptant à 6 mois de  :   Tx$ =  3%,   Tx Suisse = 2%  et Tx£ = 3,5%  par an</t>
  </si>
  <si>
    <t>GBP-CHF</t>
  </si>
  <si>
    <t>R$</t>
  </si>
  <si>
    <t>Rch</t>
  </si>
  <si>
    <t>R£</t>
  </si>
  <si>
    <t xml:space="preserve">Q8 :  Donner le change spot en Mid GBP-USD sachant les change forward à 6 mois    USD-CHF   0,965      GBP-CHF   1,269  </t>
  </si>
  <si>
    <t>Fwd 6 mois</t>
  </si>
  <si>
    <t>au comptant</t>
  </si>
  <si>
    <t>GBP-USD spot</t>
  </si>
  <si>
    <t>ou bien</t>
  </si>
  <si>
    <t>GBP-USD fwd6m</t>
  </si>
  <si>
    <t>Calcul des changes spot puis cross</t>
  </si>
  <si>
    <t>calcul du change Fwd en cross puis passage au spot</t>
  </si>
  <si>
    <t>b</t>
  </si>
  <si>
    <t>Q10 :  Donner la valeur en € de 20 tonnes d'aluminium, 600 barils de WTI, 5 Kg d'or et 5 000 tonnes de blé (à  Chicago)</t>
  </si>
  <si>
    <t>Kg</t>
  </si>
  <si>
    <t>EUR-JPY</t>
  </si>
  <si>
    <t>GBP-USD</t>
  </si>
  <si>
    <t>CAD-EUR</t>
  </si>
  <si>
    <t>CNY-CAD</t>
  </si>
  <si>
    <t>JPY-USD</t>
  </si>
  <si>
    <t>USD-GBP</t>
  </si>
  <si>
    <t>EUR-CAD</t>
  </si>
  <si>
    <t>CAD-CNY</t>
  </si>
  <si>
    <t>CNY-GBP</t>
  </si>
  <si>
    <t>Q9 :  Donner le meilleur change spot EUR-GBP selon les 2 chemins possibles      EUR-JPY 130 - 136,  GBP-USD  1,29 - 1,33</t>
  </si>
  <si>
    <t xml:space="preserve">    CAD-EUR   0,63 - 0,67    JPY-USD  0,008 - 0,010   CNY-CAD  0,175 - 0,200   CNY-GBP  0,105 - 0,128</t>
  </si>
  <si>
    <t>0,784 - 1,02</t>
  </si>
  <si>
    <t>0,733-0,890</t>
  </si>
  <si>
    <t>1,000 - 1,064</t>
  </si>
  <si>
    <t>7,64 - 7,98</t>
  </si>
  <si>
    <t>13,5 - 14,2</t>
  </si>
  <si>
    <t>Alternative possible</t>
  </si>
  <si>
    <t>x</t>
  </si>
  <si>
    <t>12800 - x</t>
  </si>
  <si>
    <t>x allant de 0 à 2 900 titres</t>
  </si>
  <si>
    <t>mais non proposé comme solution !</t>
  </si>
  <si>
    <t>Après fixing</t>
  </si>
  <si>
    <r>
      <t>Processus : calculer la maturité (n) et l'AC puis décomposer la dernière annuité (AC) en capital  (µ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 puis l'intérêt  (i*µ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</si>
  <si>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AC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µ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 + i*µ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 ==&gt;  µ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AC / (1 + i)</t>
    </r>
  </si>
  <si>
    <t>Vérif</t>
  </si>
  <si>
    <r>
      <t>Processus :   calculer les taux forward à 1 période (f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  puis les combiner</t>
    </r>
  </si>
  <si>
    <t xml:space="preserve"> </t>
  </si>
  <si>
    <t>Chemin :  USD --&gt; CHF --&gt; AUD --&gt; EUR</t>
  </si>
  <si>
    <t xml:space="preserve">Q7 :  Donner le change spot en Mid USD-EUR sachant      USD-CHF   0,965      AUD-CHF   0,700  et  EUR-AUD 1,623  </t>
  </si>
  <si>
    <t>Chemin N°1</t>
  </si>
  <si>
    <t>Chemin N°2</t>
  </si>
  <si>
    <t>EUR--&gt;JPY--&gt;USD--&gt;GBP</t>
  </si>
  <si>
    <t>EUR--&gt;CAD--&gt;CNY--&gt;GBP</t>
  </si>
  <si>
    <t>Processus : identifier les chemins possibles de EUR à GBP, puis maximiser le Bid et minimiser le ASK</t>
  </si>
  <si>
    <t>OR ($/once)</t>
  </si>
  <si>
    <t>WTI ($/baril)</t>
  </si>
  <si>
    <t>Alu ($/T)</t>
  </si>
  <si>
    <t>Blé ($/Bushel)</t>
  </si>
  <si>
    <t>once =</t>
  </si>
  <si>
    <t>Bushel =</t>
  </si>
  <si>
    <t>5 000 g = 161 onces d'or</t>
  </si>
  <si>
    <t>5 000 000 Kg = 183 756 boisseaux de blé</t>
  </si>
  <si>
    <t>Blé (€/T)</t>
  </si>
  <si>
    <t>avec le blé à Chicago coté en $ par boisseaux</t>
  </si>
  <si>
    <t>avec le blé à Paris coté en €/T</t>
  </si>
  <si>
    <t xml:space="preserve">   </t>
  </si>
  <si>
    <t>ARAGNO Victor</t>
  </si>
  <si>
    <t>ARAR Adel</t>
  </si>
  <si>
    <t>BENSAID Youness</t>
  </si>
  <si>
    <t>BOUZEMADA Othman</t>
  </si>
  <si>
    <t>CADIEUX Marie</t>
  </si>
  <si>
    <t>CASTEL Romuald</t>
  </si>
  <si>
    <t>FEKRAOUI Amal</t>
  </si>
  <si>
    <t>FLEMMING Ruben</t>
  </si>
  <si>
    <t>GENCE Grégory</t>
  </si>
  <si>
    <t>GHESQUIER Robin</t>
  </si>
  <si>
    <t>GUEYE Modou</t>
  </si>
  <si>
    <t>GUTKNECHT Jacques-Edouard</t>
  </si>
  <si>
    <t>MAKOUNDOU NGOKA Anneau</t>
  </si>
  <si>
    <t>MEHRA Anis</t>
  </si>
  <si>
    <t>OUADDAR Oumaima</t>
  </si>
  <si>
    <t>REYNE Bastien</t>
  </si>
  <si>
    <t>RODRIGUEZ Noémie</t>
  </si>
  <si>
    <t>SIDIBE Lamine</t>
  </si>
  <si>
    <t>VERGULT Laura</t>
  </si>
  <si>
    <t>NOTE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</si>
  <si>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</si>
  <si>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</si>
  <si>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</si>
  <si>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</si>
  <si>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</si>
  <si>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</si>
  <si>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</si>
  <si>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</si>
  <si>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</si>
  <si>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</si>
  <si>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Moyenne</t>
  </si>
  <si>
    <t>Ecart type</t>
  </si>
  <si>
    <t>Minimum</t>
  </si>
  <si>
    <t>Maximum</t>
  </si>
  <si>
    <t>Médiane</t>
  </si>
  <si>
    <t>Nb note &lt; à 10</t>
  </si>
  <si>
    <t>Nombre</t>
  </si>
  <si>
    <t>Actions</t>
  </si>
  <si>
    <t>Change</t>
  </si>
  <si>
    <t>Divers</t>
  </si>
  <si>
    <t>bien maitrisé</t>
  </si>
  <si>
    <t>à conforter</t>
  </si>
  <si>
    <t>correct</t>
  </si>
  <si>
    <t>L'objectif d'une moyenne de 14/20 n'est pas atteint !  (avec la médiane, c'est avéré).</t>
  </si>
  <si>
    <t>ETUDIANTS</t>
  </si>
  <si>
    <t>Oblig &amp; Taux</t>
  </si>
  <si>
    <t>Analyse de la performance par secteur</t>
  </si>
  <si>
    <t>faible</t>
  </si>
  <si>
    <t>Action X       16:27:35</t>
  </si>
  <si>
    <t>Préciser le BID-ASK en meilleure limite à 16:28:50  sachant que 3 ordres ont été passés</t>
  </si>
  <si>
    <t>Vente  de 3 600 titres à 35,65€</t>
  </si>
  <si>
    <t>Action X       16:27:40</t>
  </si>
  <si>
    <t>Achat de 1 800 titres à 35,70€</t>
  </si>
  <si>
    <t>Action X       16:27:59</t>
  </si>
  <si>
    <t>1 800 titres achetés à 35,65€</t>
  </si>
  <si>
    <t>Vente de 2 800 titres à tout prix</t>
  </si>
  <si>
    <t>Action X       16:28:50</t>
  </si>
  <si>
    <t>2 600 titres à 35,60</t>
  </si>
  <si>
    <t>200 titres à 35,55</t>
  </si>
  <si>
    <t>35,60 - 35,65</t>
  </si>
  <si>
    <t>35,60 - 35,70</t>
  </si>
  <si>
    <t>35,55 - 35,60</t>
  </si>
  <si>
    <t>35,55 - 35,70</t>
  </si>
  <si>
    <t>35,55 - 35,65</t>
  </si>
  <si>
    <t xml:space="preserve">Préciser le BID-ASK en meilleure limite à 16:26:21 </t>
  </si>
  <si>
    <t>Achat de 900 titres à tout prix</t>
  </si>
  <si>
    <t>Vente de 600 titres à 35,60€</t>
  </si>
  <si>
    <t>Achat de 800 titres à 35,65€</t>
  </si>
  <si>
    <t>éxécuté</t>
  </si>
  <si>
    <t>Action X       16:26:34</t>
  </si>
  <si>
    <t>mis en carnet</t>
  </si>
  <si>
    <t>Action X       16:26:31</t>
  </si>
  <si>
    <t>exécuté à 35,60€</t>
  </si>
  <si>
    <t>Action X       16:26:21</t>
  </si>
  <si>
    <t>exécuté à 35,65€</t>
  </si>
  <si>
    <t>Q3  :  Donner la maturité d'un emprunt remboursé par AC  ?</t>
  </si>
  <si>
    <t xml:space="preserve"> taux de coupon = 3,30%, taux de rendement  3,60% et Vo = 98,00%</t>
  </si>
  <si>
    <t>10 ans</t>
  </si>
  <si>
    <t>11 ans</t>
  </si>
  <si>
    <t>14 ans</t>
  </si>
  <si>
    <t>16 ans</t>
  </si>
  <si>
    <t>17 ans</t>
  </si>
  <si>
    <t>n = 11</t>
  </si>
  <si>
    <t>Vo(n=11)=</t>
  </si>
  <si>
    <t>n = 16</t>
  </si>
  <si>
    <t>Vo(n=16)=</t>
  </si>
  <si>
    <t>Q4 :  Calculer la +/- value (en %) et la convexité d'un Zéro Coupon sachant    n = 7 ans, taux de rendement = 5,50%</t>
  </si>
  <si>
    <t xml:space="preserve">variation du taux de marché = -0,40%       solution de la forme  +/- valuen en % ; Convexité    </t>
  </si>
  <si>
    <t>CVX n(n+1)</t>
  </si>
  <si>
    <t>-2,00% ; 25</t>
  </si>
  <si>
    <t>-2,70% ; 56</t>
  </si>
  <si>
    <t>2,50% ; 75</t>
  </si>
  <si>
    <t>2,70% ; 56</t>
  </si>
  <si>
    <t>2,30% ; 72</t>
  </si>
  <si>
    <t>dV/V = -D*(d(1+r)/(1+r))+(Cvx/2)*(d(1+r)/(1+r))^2</t>
  </si>
  <si>
    <t>Vo(5,50%)</t>
  </si>
  <si>
    <t>Vo(5,10%)</t>
  </si>
  <si>
    <t>dVo/Vo</t>
  </si>
  <si>
    <t>Q5 :  Donner le change spot en Mid AUD-GBP sachant</t>
  </si>
  <si>
    <t xml:space="preserve">USD-AUD 1,262   USD-CHF   0,931      EUR-CHF   1,154  et  EUR-GBP  0,882  </t>
  </si>
  <si>
    <t>GBP-EUR</t>
  </si>
  <si>
    <t>EUR-CHF</t>
  </si>
  <si>
    <t>CHF-EUR</t>
  </si>
  <si>
    <t>CHF-USD</t>
  </si>
  <si>
    <t>USD-AUD</t>
  </si>
  <si>
    <t>AUD-USD</t>
  </si>
  <si>
    <t>Réponse la plus proche 1,75 !</t>
  </si>
  <si>
    <t>AUD-GBP</t>
  </si>
  <si>
    <t>Attention, ce ne sont pas les changes actuels !</t>
  </si>
  <si>
    <t>Q6 :  Donner la valeur en € de 300 000 litres de pétrole qualité WTI, 3Kg d'argent et 12 tonnes de cuivre</t>
  </si>
  <si>
    <t>Argent</t>
  </si>
  <si>
    <t>WTI</t>
  </si>
  <si>
    <t>l</t>
  </si>
  <si>
    <t>once</t>
  </si>
  <si>
    <t>baril</t>
  </si>
  <si>
    <t>litres</t>
  </si>
  <si>
    <t>cuivre T/$</t>
  </si>
  <si>
    <t>Q7  :  Donner le taux de rendement actuariel d'un emprunt remboursé en 3 tranches égales (2, 4 et 6)</t>
  </si>
  <si>
    <t>maturité = n = 6 ans,  taux de coupon i = 3,00%  et prix de marché Vo = 103,44%</t>
  </si>
  <si>
    <t>3 TR 2,4 &amp; 6</t>
  </si>
  <si>
    <t xml:space="preserve">Q8  :  Déterminer le change spot des devises Dev1-Dev2 à partir des informations suivantes :        </t>
  </si>
  <si>
    <t>Dev1-Dev2 Fwd 3 mois  2,40 - 2,60 ,  Taux Dev1 à 3m   2,8% - 3,0%   et Taux Dev2 à 3m  3,4% - 3,6%</t>
  </si>
  <si>
    <t>Dev1-Dev2 Fwd 3</t>
  </si>
  <si>
    <t>4,65 - 4,71</t>
  </si>
  <si>
    <t>4,69 - 4,73</t>
  </si>
  <si>
    <t>0,21 - 0,24</t>
  </si>
  <si>
    <t>0,78 - 0,80</t>
  </si>
  <si>
    <t>2,55 - 2,60</t>
  </si>
  <si>
    <t>Taux Dev1 3m</t>
  </si>
  <si>
    <t>Taux Dev2 3m</t>
  </si>
  <si>
    <t>Dev1-Dev2 Spot</t>
  </si>
  <si>
    <t>Q9 :  Déterminer le meilleur Bid-Ask après fixing à partir des informations suivantes :</t>
  </si>
  <si>
    <t>Σ↓ Achats</t>
  </si>
  <si>
    <t>Σ↑ Ventes</t>
  </si>
  <si>
    <t>Ecart Absolu</t>
  </si>
  <si>
    <t>31,0 - 31,2</t>
  </si>
  <si>
    <t>31,0 - 31,1</t>
  </si>
  <si>
    <t>31,1 - 31,2</t>
  </si>
  <si>
    <t>31,2 - 31,3</t>
  </si>
  <si>
    <t>29,9 - 31,0</t>
  </si>
  <si>
    <t>Fixing</t>
  </si>
  <si>
    <t>Qté échangée</t>
  </si>
  <si>
    <t xml:space="preserve">  tous les acheteurs &gt;= à 31,20 sont servis</t>
  </si>
  <si>
    <t xml:space="preserve">  il reste 210 vendeurs à 31,20 non servis</t>
  </si>
  <si>
    <t>Meilleure limite</t>
  </si>
  <si>
    <t>Q10 :  Fournir une prévision du CAC40 à un horizon de 6 mois. CAC en spot 5 055, Euribor 6 m = -0,26%, taux de dividende 2,2%, Change EUR-USD  1,1416</t>
  </si>
  <si>
    <t>Fwd = Spot * exp[( euribor6 - divid)*6mth]</t>
  </si>
  <si>
    <t>Spot</t>
  </si>
  <si>
    <t>Euribor 6</t>
  </si>
  <si>
    <t>CAC Fwd</t>
  </si>
  <si>
    <t>Tx Div</t>
  </si>
  <si>
    <t>Horizon (an)</t>
  </si>
  <si>
    <t>ELEMENTS DE CORRIGE CONTRÔLE M2 SIAD IAE  2018-2019   du19/11/18</t>
  </si>
  <si>
    <t>Rattrapage le 19/11/18</t>
  </si>
  <si>
    <t>Q6 :  Calculer la valeur d'un FRA de 2 dans 3 ( ou encore un  F 2/5 ) sachant les taux spot :  Rn =taux de 0 à n</t>
  </si>
  <si>
    <r>
      <t xml:space="preserve">     FRA de 2 dans 3  = F 2/5 = [1+f4)(1+f5)]</t>
    </r>
    <r>
      <rPr>
        <vertAlign val="super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 xml:space="preserve">  - 1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</si>
</sst>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%"/>
    <numFmt numFmtId="166" formatCode="0.0%"/>
    <numFmt numFmtId="167" formatCode="0.000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8"/>
      <name val="Arial"/>
      <family val="2"/>
    </font>
    <font>
      <sz val="7.5"/>
      <color theme="1"/>
      <name val="Calibri"/>
      <family val="2"/>
      <scheme val="minor"/>
    </font>
    <font>
      <b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Times New Roman"/>
      <family val="1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/>
    <xf numFmtId="3" fontId="4" fillId="0" borderId="0" xfId="0" applyNumberFormat="1" applyFont="1" applyBorder="1" applyAlignment="1">
      <alignment horizontal="center"/>
    </xf>
    <xf numFmtId="21" fontId="0" fillId="2" borderId="0" xfId="0" applyNumberFormat="1" applyFill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4" fillId="0" borderId="0" xfId="0" applyFont="1" applyFill="1" applyBorder="1" applyAlignment="1">
      <alignment horizontal="left"/>
    </xf>
    <xf numFmtId="0" fontId="0" fillId="0" borderId="10" xfId="0" applyBorder="1"/>
    <xf numFmtId="3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21" fontId="0" fillId="0" borderId="0" xfId="0" applyNumberFormat="1"/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7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2" fontId="0" fillId="2" borderId="0" xfId="0" applyNumberFormat="1" applyFill="1"/>
    <xf numFmtId="2" fontId="0" fillId="0" borderId="0" xfId="0" applyNumberFormat="1"/>
    <xf numFmtId="10" fontId="0" fillId="0" borderId="0" xfId="0" applyNumberFormat="1"/>
    <xf numFmtId="0" fontId="2" fillId="4" borderId="0" xfId="0" applyFont="1" applyFill="1"/>
    <xf numFmtId="10" fontId="0" fillId="0" borderId="0" xfId="1" applyNumberFormat="1" applyFont="1"/>
    <xf numFmtId="2" fontId="0" fillId="0" borderId="0" xfId="1" applyNumberFormat="1" applyFont="1"/>
    <xf numFmtId="1" fontId="2" fillId="0" borderId="0" xfId="0" applyNumberFormat="1" applyFont="1" applyAlignment="1">
      <alignment horizontal="center"/>
    </xf>
    <xf numFmtId="0" fontId="8" fillId="2" borderId="0" xfId="0" applyFont="1" applyFill="1"/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 vertical="center" wrapText="1"/>
    </xf>
    <xf numFmtId="10" fontId="6" fillId="0" borderId="10" xfId="1" quotePrefix="1" applyNumberFormat="1" applyFont="1" applyBorder="1" applyAlignment="1">
      <alignment horizontal="center"/>
    </xf>
    <xf numFmtId="164" fontId="0" fillId="0" borderId="0" xfId="0" applyNumberFormat="1"/>
    <xf numFmtId="4" fontId="6" fillId="0" borderId="10" xfId="0" applyNumberFormat="1" applyFont="1" applyBorder="1" applyAlignment="1">
      <alignment horizontal="center"/>
    </xf>
    <xf numFmtId="4" fontId="0" fillId="0" borderId="0" xfId="0" applyNumberFormat="1"/>
    <xf numFmtId="4" fontId="0" fillId="0" borderId="10" xfId="0" applyNumberFormat="1" applyBorder="1"/>
    <xf numFmtId="4" fontId="0" fillId="0" borderId="0" xfId="0" applyNumberFormat="1" applyBorder="1"/>
    <xf numFmtId="0" fontId="9" fillId="0" borderId="0" xfId="0" applyFont="1"/>
    <xf numFmtId="0" fontId="0" fillId="0" borderId="0" xfId="0" quotePrefix="1"/>
    <xf numFmtId="1" fontId="0" fillId="0" borderId="0" xfId="0" applyNumberFormat="1"/>
    <xf numFmtId="0" fontId="0" fillId="0" borderId="0" xfId="0" applyAlignment="1">
      <alignment horizontal="center"/>
    </xf>
    <xf numFmtId="1" fontId="2" fillId="4" borderId="11" xfId="0" applyNumberFormat="1" applyFont="1" applyFill="1" applyBorder="1"/>
    <xf numFmtId="3" fontId="0" fillId="0" borderId="0" xfId="0" applyNumberFormat="1" applyAlignment="1">
      <alignment horizontal="center"/>
    </xf>
    <xf numFmtId="165" fontId="0" fillId="0" borderId="0" xfId="1" applyNumberFormat="1" applyFont="1"/>
    <xf numFmtId="10" fontId="2" fillId="4" borderId="11" xfId="0" applyNumberFormat="1" applyFont="1" applyFill="1" applyBorder="1"/>
    <xf numFmtId="0" fontId="0" fillId="0" borderId="13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16" xfId="0" applyBorder="1"/>
    <xf numFmtId="2" fontId="0" fillId="4" borderId="5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4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13" fillId="4" borderId="11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4" borderId="0" xfId="1" applyNumberFormat="1" applyFont="1" applyFill="1" applyAlignment="1">
      <alignment horizontal="center"/>
    </xf>
    <xf numFmtId="166" fontId="6" fillId="0" borderId="10" xfId="1" applyNumberFormat="1" applyFont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0" fontId="5" fillId="2" borderId="0" xfId="0" applyFont="1" applyFill="1"/>
    <xf numFmtId="10" fontId="6" fillId="0" borderId="10" xfId="0" applyNumberFormat="1" applyFont="1" applyBorder="1" applyAlignment="1">
      <alignment horizontal="center"/>
    </xf>
    <xf numFmtId="10" fontId="0" fillId="0" borderId="10" xfId="0" applyNumberFormat="1" applyBorder="1"/>
    <xf numFmtId="10" fontId="0" fillId="0" borderId="0" xfId="0" applyNumberFormat="1" applyBorder="1"/>
    <xf numFmtId="10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15" xfId="0" applyBorder="1"/>
    <xf numFmtId="0" fontId="0" fillId="0" borderId="18" xfId="0" applyBorder="1"/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19" xfId="1" applyNumberFormat="1" applyFont="1" applyBorder="1" applyAlignment="1">
      <alignment horizontal="center"/>
    </xf>
    <xf numFmtId="164" fontId="2" fillId="4" borderId="11" xfId="0" applyNumberFormat="1" applyFont="1" applyFill="1" applyBorder="1"/>
    <xf numFmtId="164" fontId="0" fillId="0" borderId="0" xfId="0" applyNumberFormat="1" applyAlignment="1">
      <alignment horizontal="center"/>
    </xf>
    <xf numFmtId="0" fontId="2" fillId="0" borderId="0" xfId="0" applyFont="1"/>
    <xf numFmtId="0" fontId="19" fillId="0" borderId="0" xfId="0" applyFont="1"/>
    <xf numFmtId="164" fontId="2" fillId="4" borderId="12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168" fontId="2" fillId="0" borderId="0" xfId="0" applyNumberFormat="1" applyFont="1" applyAlignment="1">
      <alignment horizontal="center"/>
    </xf>
    <xf numFmtId="168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6" borderId="1" xfId="0" applyFill="1" applyBorder="1"/>
    <xf numFmtId="0" fontId="2" fillId="6" borderId="2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2" fillId="0" borderId="5" xfId="0" applyFont="1" applyBorder="1"/>
    <xf numFmtId="168" fontId="2" fillId="4" borderId="11" xfId="0" applyNumberFormat="1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8" xfId="0" applyFont="1" applyBorder="1"/>
    <xf numFmtId="0" fontId="0" fillId="0" borderId="19" xfId="0" applyBorder="1"/>
    <xf numFmtId="0" fontId="0" fillId="0" borderId="5" xfId="0" applyFont="1" applyBorder="1"/>
    <xf numFmtId="0" fontId="0" fillId="7" borderId="1" xfId="0" applyFill="1" applyBorder="1"/>
    <xf numFmtId="0" fontId="2" fillId="7" borderId="2" xfId="0" applyFont="1" applyFill="1" applyBorder="1"/>
    <xf numFmtId="0" fontId="0" fillId="7" borderId="2" xfId="0" applyFill="1" applyBorder="1"/>
    <xf numFmtId="0" fontId="0" fillId="7" borderId="3" xfId="0" applyFill="1" applyBorder="1"/>
    <xf numFmtId="2" fontId="2" fillId="4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3" fontId="0" fillId="6" borderId="5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0" fontId="2" fillId="4" borderId="11" xfId="0" applyFont="1" applyFill="1" applyBorder="1" applyAlignment="1">
      <alignment horizontal="center"/>
    </xf>
    <xf numFmtId="10" fontId="2" fillId="4" borderId="0" xfId="1" applyNumberFormat="1" applyFont="1" applyFill="1"/>
    <xf numFmtId="164" fontId="2" fillId="4" borderId="0" xfId="0" applyNumberFormat="1" applyFont="1" applyFill="1"/>
    <xf numFmtId="0" fontId="5" fillId="0" borderId="0" xfId="0" applyFont="1" applyAlignment="1">
      <alignment vertical="center"/>
    </xf>
    <xf numFmtId="166" fontId="6" fillId="0" borderId="10" xfId="0" applyNumberFormat="1" applyFont="1" applyBorder="1" applyAlignment="1">
      <alignment horizontal="center"/>
    </xf>
    <xf numFmtId="167" fontId="0" fillId="0" borderId="0" xfId="0" applyNumberFormat="1"/>
    <xf numFmtId="0" fontId="6" fillId="0" borderId="10" xfId="0" applyFont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2" fillId="4" borderId="3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2" fontId="0" fillId="0" borderId="15" xfId="0" applyNumberFormat="1" applyBorder="1"/>
    <xf numFmtId="0" fontId="0" fillId="0" borderId="7" xfId="0" applyBorder="1"/>
    <xf numFmtId="0" fontId="21" fillId="0" borderId="7" xfId="0" applyFont="1" applyBorder="1"/>
    <xf numFmtId="0" fontId="21" fillId="0" borderId="6" xfId="0" applyFont="1" applyBorder="1"/>
    <xf numFmtId="2" fontId="19" fillId="0" borderId="15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2" fontId="0" fillId="0" borderId="16" xfId="0" applyNumberFormat="1" applyBorder="1"/>
    <xf numFmtId="1" fontId="0" fillId="0" borderId="0" xfId="0" applyNumberFormat="1" applyBorder="1"/>
    <xf numFmtId="3" fontId="0" fillId="0" borderId="0" xfId="0" applyNumberFormat="1" applyFill="1" applyBorder="1"/>
    <xf numFmtId="0" fontId="0" fillId="0" borderId="17" xfId="0" applyBorder="1"/>
    <xf numFmtId="2" fontId="0" fillId="0" borderId="16" xfId="0" applyNumberFormat="1" applyBorder="1" applyAlignment="1">
      <alignment horizontal="center"/>
    </xf>
    <xf numFmtId="2" fontId="0" fillId="0" borderId="16" xfId="0" applyNumberFormat="1" applyFont="1" applyBorder="1"/>
    <xf numFmtId="3" fontId="0" fillId="0" borderId="0" xfId="0" applyNumberFormat="1" applyFont="1" applyFill="1" applyBorder="1"/>
    <xf numFmtId="2" fontId="0" fillId="0" borderId="16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0" fillId="0" borderId="18" xfId="0" applyNumberFormat="1" applyBorder="1"/>
    <xf numFmtId="1" fontId="0" fillId="0" borderId="12" xfId="0" applyNumberFormat="1" applyBorder="1"/>
    <xf numFmtId="0" fontId="0" fillId="0" borderId="12" xfId="0" applyBorder="1"/>
    <xf numFmtId="3" fontId="0" fillId="0" borderId="12" xfId="0" applyNumberFormat="1" applyFill="1" applyBorder="1"/>
    <xf numFmtId="2" fontId="0" fillId="0" borderId="18" xfId="0" applyNumberForma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" fontId="2" fillId="0" borderId="0" xfId="0" applyNumberFormat="1" applyFont="1"/>
    <xf numFmtId="2" fontId="2" fillId="0" borderId="0" xfId="0" applyNumberFormat="1" applyFont="1"/>
    <xf numFmtId="3" fontId="0" fillId="0" borderId="0" xfId="0" applyNumberFormat="1" applyBorder="1"/>
    <xf numFmtId="3" fontId="0" fillId="0" borderId="10" xfId="0" applyNumberFormat="1" applyBorder="1"/>
    <xf numFmtId="2" fontId="2" fillId="4" borderId="11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5"/>
  <sheetViews>
    <sheetView tabSelected="1" topLeftCell="A124" workbookViewId="0">
      <selection activeCell="G144" sqref="G144"/>
    </sheetView>
  </sheetViews>
  <sheetFormatPr baseColWidth="10" defaultRowHeight="14.4" x14ac:dyDescent="0.3"/>
  <cols>
    <col min="1" max="1" width="4.33203125" customWidth="1"/>
    <col min="2" max="2" width="9.109375" customWidth="1"/>
    <col min="5" max="5" width="2.44140625" customWidth="1"/>
    <col min="9" max="9" width="12.88671875" customWidth="1"/>
    <col min="10" max="10" width="14.44140625" customWidth="1"/>
    <col min="11" max="11" width="11.44140625" customWidth="1"/>
    <col min="12" max="12" width="3.6640625" customWidth="1"/>
    <col min="13" max="13" width="4.44140625" customWidth="1"/>
    <col min="15" max="16" width="4.109375" customWidth="1"/>
    <col min="18" max="19" width="4.33203125" customWidth="1"/>
    <col min="21" max="22" width="3.5546875" customWidth="1"/>
    <col min="24" max="25" width="3.88671875" customWidth="1"/>
    <col min="29" max="29" width="8.6640625" customWidth="1"/>
    <col min="30" max="34" width="8.33203125" customWidth="1"/>
    <col min="35" max="35" width="8.6640625" customWidth="1"/>
  </cols>
  <sheetData>
    <row r="1" spans="1:11" ht="15" thickBot="1" x14ac:dyDescent="0.35">
      <c r="A1" s="161"/>
      <c r="B1" s="162" t="s">
        <v>47</v>
      </c>
      <c r="C1" s="163"/>
      <c r="D1" s="163"/>
      <c r="E1" s="164"/>
      <c r="F1" s="164"/>
      <c r="G1" s="164"/>
      <c r="H1" s="164"/>
    </row>
    <row r="3" spans="1:11" ht="15.75" thickBot="1" x14ac:dyDescent="0.3"/>
    <row r="4" spans="1:11" ht="15.75" thickBot="1" x14ac:dyDescent="0.3">
      <c r="C4" s="228" t="s">
        <v>31</v>
      </c>
      <c r="D4" s="229"/>
      <c r="E4" s="229"/>
      <c r="F4" s="229"/>
      <c r="G4" s="230"/>
    </row>
    <row r="5" spans="1:11" ht="15.75" thickBot="1" x14ac:dyDescent="0.3">
      <c r="C5" s="228" t="s">
        <v>0</v>
      </c>
      <c r="D5" s="231"/>
      <c r="E5" s="1"/>
      <c r="F5" s="228" t="s">
        <v>1</v>
      </c>
      <c r="G5" s="230"/>
    </row>
    <row r="6" spans="1:11" ht="15" thickBot="1" x14ac:dyDescent="0.35">
      <c r="C6" s="2" t="s">
        <v>2</v>
      </c>
      <c r="D6" s="3" t="s">
        <v>3</v>
      </c>
      <c r="E6" s="4"/>
      <c r="F6" s="2" t="s">
        <v>3</v>
      </c>
      <c r="G6" s="3" t="s">
        <v>2</v>
      </c>
    </row>
    <row r="7" spans="1:11" ht="15" x14ac:dyDescent="0.25">
      <c r="C7" s="24">
        <v>12600</v>
      </c>
      <c r="D7" s="21">
        <v>88.6</v>
      </c>
      <c r="E7" s="5"/>
      <c r="F7" s="21">
        <v>88.7</v>
      </c>
      <c r="G7" s="24">
        <v>9500</v>
      </c>
    </row>
    <row r="8" spans="1:11" ht="15" x14ac:dyDescent="0.25">
      <c r="C8" s="25">
        <v>9800</v>
      </c>
      <c r="D8" s="22">
        <v>88.55</v>
      </c>
      <c r="E8" s="6"/>
      <c r="F8" s="22">
        <v>88.75</v>
      </c>
      <c r="G8" s="25">
        <v>11300</v>
      </c>
    </row>
    <row r="9" spans="1:11" ht="15.75" thickBot="1" x14ac:dyDescent="0.3">
      <c r="C9" s="26">
        <v>3400</v>
      </c>
      <c r="D9" s="23">
        <v>88.5</v>
      </c>
      <c r="E9" s="6"/>
      <c r="F9" s="23">
        <v>88.8</v>
      </c>
      <c r="G9" s="26">
        <v>6600</v>
      </c>
    </row>
    <row r="11" spans="1:11" x14ac:dyDescent="0.3">
      <c r="A11" s="7" t="s">
        <v>7</v>
      </c>
      <c r="B11" s="8" t="s">
        <v>32</v>
      </c>
      <c r="C11" s="9"/>
      <c r="D11" s="9"/>
      <c r="E11" s="9"/>
      <c r="F11" s="9"/>
      <c r="G11" s="9"/>
      <c r="I11" s="10"/>
      <c r="J11" s="10"/>
      <c r="K11" s="10"/>
    </row>
    <row r="12" spans="1:11" x14ac:dyDescent="0.3">
      <c r="B12" s="11">
        <v>0.43587962962962962</v>
      </c>
      <c r="C12" s="9" t="s">
        <v>34</v>
      </c>
      <c r="D12" s="9"/>
      <c r="E12" s="9"/>
    </row>
    <row r="13" spans="1:11" ht="15.75" thickBot="1" x14ac:dyDescent="0.3"/>
    <row r="14" spans="1:11" ht="15.75" thickBot="1" x14ac:dyDescent="0.3">
      <c r="C14" s="228" t="s">
        <v>33</v>
      </c>
      <c r="D14" s="229"/>
      <c r="E14" s="229"/>
      <c r="F14" s="229"/>
      <c r="G14" s="230"/>
    </row>
    <row r="15" spans="1:11" ht="15.75" thickBot="1" x14ac:dyDescent="0.3">
      <c r="C15" s="228" t="s">
        <v>0</v>
      </c>
      <c r="D15" s="231"/>
      <c r="E15" s="1"/>
      <c r="F15" s="228" t="s">
        <v>1</v>
      </c>
      <c r="G15" s="230"/>
    </row>
    <row r="16" spans="1:11" ht="15" thickBot="1" x14ac:dyDescent="0.35">
      <c r="C16" s="2" t="s">
        <v>2</v>
      </c>
      <c r="D16" s="3" t="s">
        <v>3</v>
      </c>
      <c r="E16" s="4"/>
      <c r="F16" s="2" t="s">
        <v>3</v>
      </c>
      <c r="G16" s="3" t="s">
        <v>2</v>
      </c>
    </row>
    <row r="17" spans="2:9" ht="15" x14ac:dyDescent="0.25">
      <c r="C17" s="24">
        <v>12600</v>
      </c>
      <c r="D17" s="21">
        <v>88.6</v>
      </c>
      <c r="E17" s="5"/>
      <c r="F17" s="28">
        <v>88.65</v>
      </c>
      <c r="G17" s="27">
        <v>13300</v>
      </c>
      <c r="I17" t="s">
        <v>6</v>
      </c>
    </row>
    <row r="18" spans="2:9" ht="15" x14ac:dyDescent="0.25">
      <c r="C18" s="25">
        <v>9800</v>
      </c>
      <c r="D18" s="22">
        <v>88.55</v>
      </c>
      <c r="E18" s="6"/>
      <c r="F18" s="22">
        <v>88.7</v>
      </c>
      <c r="G18" s="25">
        <v>9500</v>
      </c>
    </row>
    <row r="19" spans="2:9" ht="15.75" thickBot="1" x14ac:dyDescent="0.3">
      <c r="C19" s="26">
        <v>3400</v>
      </c>
      <c r="D19" s="23">
        <v>88.5</v>
      </c>
      <c r="E19" s="6"/>
      <c r="F19" s="23">
        <v>88.75</v>
      </c>
      <c r="G19" s="26">
        <v>11300</v>
      </c>
    </row>
    <row r="21" spans="2:9" x14ac:dyDescent="0.3">
      <c r="B21" s="11">
        <v>0.43608796296296298</v>
      </c>
      <c r="C21" s="9" t="s">
        <v>35</v>
      </c>
      <c r="D21" s="9"/>
      <c r="E21" s="9"/>
    </row>
    <row r="22" spans="2:9" ht="15.75" thickBot="1" x14ac:dyDescent="0.3"/>
    <row r="23" spans="2:9" ht="15.75" thickBot="1" x14ac:dyDescent="0.3">
      <c r="C23" s="228" t="s">
        <v>36</v>
      </c>
      <c r="D23" s="229"/>
      <c r="E23" s="229"/>
      <c r="F23" s="229"/>
      <c r="G23" s="230"/>
    </row>
    <row r="24" spans="2:9" ht="15.75" thickBot="1" x14ac:dyDescent="0.3">
      <c r="C24" s="228" t="s">
        <v>0</v>
      </c>
      <c r="D24" s="231"/>
      <c r="E24" s="1"/>
      <c r="F24" s="228" t="s">
        <v>1</v>
      </c>
      <c r="G24" s="230"/>
    </row>
    <row r="25" spans="2:9" ht="15" thickBot="1" x14ac:dyDescent="0.35">
      <c r="C25" s="2" t="s">
        <v>2</v>
      </c>
      <c r="D25" s="3" t="s">
        <v>3</v>
      </c>
      <c r="E25" s="4"/>
      <c r="F25" s="2" t="s">
        <v>3</v>
      </c>
      <c r="G25" s="3" t="s">
        <v>2</v>
      </c>
    </row>
    <row r="26" spans="2:9" ht="15" x14ac:dyDescent="0.25">
      <c r="C26" s="24">
        <v>12600</v>
      </c>
      <c r="D26" s="21">
        <v>88.6</v>
      </c>
      <c r="E26" s="5"/>
      <c r="F26" s="21">
        <v>88.65</v>
      </c>
      <c r="G26" s="27">
        <v>4500</v>
      </c>
    </row>
    <row r="27" spans="2:9" x14ac:dyDescent="0.3">
      <c r="C27" s="25">
        <v>9800</v>
      </c>
      <c r="D27" s="22">
        <v>88.55</v>
      </c>
      <c r="E27" s="6"/>
      <c r="F27" s="22">
        <v>88.7</v>
      </c>
      <c r="G27" s="25">
        <v>9500</v>
      </c>
      <c r="I27" t="s">
        <v>46</v>
      </c>
    </row>
    <row r="28" spans="2:9" ht="15.75" thickBot="1" x14ac:dyDescent="0.3">
      <c r="C28" s="26">
        <v>3400</v>
      </c>
      <c r="D28" s="23">
        <v>88.5</v>
      </c>
      <c r="E28" s="6"/>
      <c r="F28" s="23">
        <v>88.75</v>
      </c>
      <c r="G28" s="26">
        <v>11300</v>
      </c>
    </row>
    <row r="29" spans="2:9" ht="15" x14ac:dyDescent="0.25">
      <c r="C29" s="12"/>
      <c r="D29" s="13"/>
      <c r="E29" s="12"/>
      <c r="F29" s="13"/>
      <c r="G29" s="12"/>
    </row>
    <row r="30" spans="2:9" x14ac:dyDescent="0.3">
      <c r="B30" s="11">
        <v>0.43667824074074074</v>
      </c>
      <c r="C30" s="9" t="s">
        <v>37</v>
      </c>
      <c r="D30" s="9"/>
      <c r="E30" s="9"/>
      <c r="F30" s="13"/>
      <c r="G30" s="12"/>
    </row>
    <row r="31" spans="2:9" ht="15" thickBot="1" x14ac:dyDescent="0.35">
      <c r="C31" s="12"/>
      <c r="D31" s="13"/>
      <c r="E31" s="12"/>
      <c r="F31" s="13"/>
      <c r="G31" s="12"/>
    </row>
    <row r="32" spans="2:9" ht="15" thickBot="1" x14ac:dyDescent="0.35">
      <c r="C32" s="228" t="s">
        <v>45</v>
      </c>
      <c r="D32" s="229"/>
      <c r="E32" s="229"/>
      <c r="F32" s="229"/>
      <c r="G32" s="230"/>
    </row>
    <row r="33" spans="1:26" ht="15" thickBot="1" x14ac:dyDescent="0.35">
      <c r="C33" s="228" t="s">
        <v>0</v>
      </c>
      <c r="D33" s="231"/>
      <c r="E33" s="1"/>
      <c r="F33" s="228" t="s">
        <v>1</v>
      </c>
      <c r="G33" s="230"/>
    </row>
    <row r="34" spans="1:26" ht="15" thickBot="1" x14ac:dyDescent="0.35">
      <c r="C34" s="2" t="s">
        <v>2</v>
      </c>
      <c r="D34" s="3" t="s">
        <v>3</v>
      </c>
      <c r="E34" s="4"/>
      <c r="F34" s="2" t="s">
        <v>3</v>
      </c>
      <c r="G34" s="3" t="s">
        <v>2</v>
      </c>
      <c r="I34" s="14" t="s">
        <v>4</v>
      </c>
    </row>
    <row r="35" spans="1:26" x14ac:dyDescent="0.3">
      <c r="C35" s="24">
        <v>12600</v>
      </c>
      <c r="D35" s="28">
        <v>88.6</v>
      </c>
      <c r="E35" s="5"/>
      <c r="F35" s="65">
        <v>88.7</v>
      </c>
      <c r="G35" s="29">
        <v>1800</v>
      </c>
      <c r="I35" t="s">
        <v>38</v>
      </c>
    </row>
    <row r="36" spans="1:26" x14ac:dyDescent="0.3">
      <c r="C36" s="25">
        <v>9800</v>
      </c>
      <c r="D36" s="22">
        <v>88.55</v>
      </c>
      <c r="E36" s="6"/>
      <c r="F36" s="22">
        <v>88.75</v>
      </c>
      <c r="G36" s="25">
        <v>7600</v>
      </c>
      <c r="I36" t="s">
        <v>39</v>
      </c>
      <c r="M36" s="15"/>
      <c r="N36" s="16" t="s">
        <v>40</v>
      </c>
      <c r="O36" s="17"/>
      <c r="P36" s="18"/>
      <c r="Q36" s="16" t="s">
        <v>41</v>
      </c>
      <c r="R36" s="17"/>
      <c r="S36" s="18"/>
      <c r="T36" s="16" t="s">
        <v>42</v>
      </c>
      <c r="U36" s="17"/>
      <c r="V36" s="18"/>
      <c r="W36" s="16" t="s">
        <v>43</v>
      </c>
      <c r="X36" s="17"/>
      <c r="Y36" s="18"/>
      <c r="Z36" s="16" t="s">
        <v>44</v>
      </c>
    </row>
    <row r="37" spans="1:26" ht="15" thickBot="1" x14ac:dyDescent="0.35">
      <c r="C37" s="26">
        <v>3400</v>
      </c>
      <c r="D37" s="23">
        <v>88.5</v>
      </c>
      <c r="E37" s="6"/>
      <c r="F37" s="23"/>
      <c r="G37" s="26"/>
      <c r="M37" s="15"/>
      <c r="N37" s="16" t="s">
        <v>40</v>
      </c>
      <c r="O37" s="17"/>
      <c r="P37" s="19" t="s">
        <v>5</v>
      </c>
      <c r="Q37" s="16" t="s">
        <v>41</v>
      </c>
      <c r="R37" s="17"/>
      <c r="S37" s="18"/>
      <c r="T37" s="16" t="s">
        <v>42</v>
      </c>
      <c r="U37" s="17"/>
      <c r="V37" s="18"/>
      <c r="W37" s="16" t="s">
        <v>43</v>
      </c>
      <c r="X37" s="17"/>
      <c r="Y37" s="18"/>
      <c r="Z37" s="16" t="s">
        <v>44</v>
      </c>
    </row>
    <row r="38" spans="1:26" x14ac:dyDescent="0.3">
      <c r="C38" s="12"/>
      <c r="D38" s="13"/>
      <c r="E38" s="12"/>
      <c r="F38" s="13"/>
      <c r="G38" s="12"/>
    </row>
    <row r="39" spans="1:26" x14ac:dyDescent="0.3">
      <c r="A39" s="7" t="s">
        <v>8</v>
      </c>
      <c r="B39" s="8" t="s">
        <v>48</v>
      </c>
      <c r="C39" s="9"/>
      <c r="D39" s="9"/>
      <c r="E39" s="9"/>
      <c r="F39" s="9"/>
      <c r="G39" s="9"/>
    </row>
    <row r="40" spans="1:26" x14ac:dyDescent="0.3">
      <c r="B40" s="20">
        <v>0.43497685185185181</v>
      </c>
      <c r="C40" t="s">
        <v>55</v>
      </c>
    </row>
    <row r="41" spans="1:26" x14ac:dyDescent="0.3">
      <c r="B41" s="20">
        <v>0.43509259259259259</v>
      </c>
      <c r="C41" t="s">
        <v>54</v>
      </c>
    </row>
    <row r="42" spans="1:26" x14ac:dyDescent="0.3">
      <c r="B42" s="20">
        <v>0.43512731481481487</v>
      </c>
      <c r="C42" t="s">
        <v>52</v>
      </c>
    </row>
    <row r="43" spans="1:26" ht="15" thickBot="1" x14ac:dyDescent="0.35"/>
    <row r="44" spans="1:26" ht="15" thickBot="1" x14ac:dyDescent="0.35">
      <c r="C44" s="228" t="s">
        <v>31</v>
      </c>
      <c r="D44" s="229"/>
      <c r="E44" s="229"/>
      <c r="F44" s="229"/>
      <c r="G44" s="230"/>
    </row>
    <row r="45" spans="1:26" ht="15" thickBot="1" x14ac:dyDescent="0.35">
      <c r="C45" s="228" t="s">
        <v>0</v>
      </c>
      <c r="D45" s="231"/>
      <c r="E45" s="1"/>
      <c r="F45" s="228" t="s">
        <v>1</v>
      </c>
      <c r="G45" s="230"/>
    </row>
    <row r="46" spans="1:26" ht="15" thickBot="1" x14ac:dyDescent="0.35">
      <c r="C46" s="2" t="s">
        <v>2</v>
      </c>
      <c r="D46" s="3" t="s">
        <v>3</v>
      </c>
      <c r="E46" s="4"/>
      <c r="F46" s="2" t="s">
        <v>3</v>
      </c>
      <c r="G46" s="3" t="s">
        <v>2</v>
      </c>
    </row>
    <row r="47" spans="1:26" x14ac:dyDescent="0.3">
      <c r="C47" s="24">
        <v>12600</v>
      </c>
      <c r="D47" s="21">
        <v>88.6</v>
      </c>
      <c r="E47" s="5"/>
      <c r="F47" s="21">
        <v>88.7</v>
      </c>
      <c r="G47" s="24">
        <v>9500</v>
      </c>
    </row>
    <row r="48" spans="1:26" x14ac:dyDescent="0.3">
      <c r="C48" s="25">
        <v>9800</v>
      </c>
      <c r="D48" s="22">
        <v>88.55</v>
      </c>
      <c r="E48" s="6"/>
      <c r="F48" s="22">
        <v>88.75</v>
      </c>
      <c r="G48" s="25">
        <v>11300</v>
      </c>
    </row>
    <row r="49" spans="2:9" ht="15" thickBot="1" x14ac:dyDescent="0.35">
      <c r="C49" s="26">
        <v>3400</v>
      </c>
      <c r="D49" s="23">
        <v>88.5</v>
      </c>
      <c r="E49" s="6"/>
      <c r="F49" s="23">
        <v>88.8</v>
      </c>
      <c r="G49" s="26">
        <v>6600</v>
      </c>
    </row>
    <row r="51" spans="2:9" x14ac:dyDescent="0.3">
      <c r="B51" s="20">
        <v>0.43512731481481487</v>
      </c>
      <c r="C51" t="s">
        <v>52</v>
      </c>
      <c r="I51" t="s">
        <v>53</v>
      </c>
    </row>
    <row r="52" spans="2:9" ht="15" thickBot="1" x14ac:dyDescent="0.35"/>
    <row r="53" spans="2:9" ht="15" thickBot="1" x14ac:dyDescent="0.35">
      <c r="C53" s="228" t="s">
        <v>49</v>
      </c>
      <c r="D53" s="229"/>
      <c r="E53" s="229"/>
      <c r="F53" s="229"/>
      <c r="G53" s="230"/>
    </row>
    <row r="54" spans="2:9" ht="15" thickBot="1" x14ac:dyDescent="0.35">
      <c r="C54" s="228" t="s">
        <v>0</v>
      </c>
      <c r="D54" s="231"/>
      <c r="E54" s="1"/>
      <c r="F54" s="228" t="s">
        <v>1</v>
      </c>
      <c r="G54" s="230"/>
    </row>
    <row r="55" spans="2:9" ht="15" thickBot="1" x14ac:dyDescent="0.35">
      <c r="C55" s="2" t="s">
        <v>2</v>
      </c>
      <c r="D55" s="3" t="s">
        <v>3</v>
      </c>
      <c r="E55" s="4"/>
      <c r="F55" s="2" t="s">
        <v>3</v>
      </c>
      <c r="G55" s="3" t="s">
        <v>2</v>
      </c>
    </row>
    <row r="56" spans="2:9" x14ac:dyDescent="0.3">
      <c r="C56" s="66">
        <v>9900</v>
      </c>
      <c r="D56" s="21">
        <v>88.6</v>
      </c>
      <c r="E56" s="5"/>
      <c r="F56" s="21">
        <v>88.7</v>
      </c>
      <c r="G56" s="24">
        <v>9500</v>
      </c>
      <c r="I56" s="62"/>
    </row>
    <row r="57" spans="2:9" x14ac:dyDescent="0.3">
      <c r="C57" s="25">
        <v>9800</v>
      </c>
      <c r="D57" s="22">
        <v>88.55</v>
      </c>
      <c r="E57" s="6"/>
      <c r="F57" s="22">
        <v>88.75</v>
      </c>
      <c r="G57" s="25">
        <v>11300</v>
      </c>
    </row>
    <row r="58" spans="2:9" ht="15" thickBot="1" x14ac:dyDescent="0.35">
      <c r="C58" s="26">
        <v>3400</v>
      </c>
      <c r="D58" s="23">
        <v>88.5</v>
      </c>
      <c r="E58" s="30"/>
      <c r="F58" s="23">
        <v>88.8</v>
      </c>
      <c r="G58" s="26">
        <v>6600</v>
      </c>
    </row>
    <row r="60" spans="2:9" x14ac:dyDescent="0.3">
      <c r="B60" s="20">
        <v>0.43509259259259259</v>
      </c>
      <c r="C60" t="s">
        <v>54</v>
      </c>
      <c r="I60" s="14" t="s">
        <v>56</v>
      </c>
    </row>
    <row r="61" spans="2:9" ht="15" thickBot="1" x14ac:dyDescent="0.35"/>
    <row r="62" spans="2:9" ht="15" thickBot="1" x14ac:dyDescent="0.35">
      <c r="C62" s="228" t="s">
        <v>50</v>
      </c>
      <c r="D62" s="229"/>
      <c r="E62" s="229"/>
      <c r="F62" s="229"/>
      <c r="G62" s="230"/>
    </row>
    <row r="63" spans="2:9" ht="15" thickBot="1" x14ac:dyDescent="0.35">
      <c r="C63" s="228" t="s">
        <v>0</v>
      </c>
      <c r="D63" s="231"/>
      <c r="E63" s="1"/>
      <c r="F63" s="228" t="s">
        <v>1</v>
      </c>
      <c r="G63" s="230"/>
    </row>
    <row r="64" spans="2:9" ht="15" thickBot="1" x14ac:dyDescent="0.35">
      <c r="C64" s="2" t="s">
        <v>2</v>
      </c>
      <c r="D64" s="3" t="s">
        <v>3</v>
      </c>
      <c r="E64" s="4"/>
      <c r="F64" s="2" t="s">
        <v>3</v>
      </c>
      <c r="G64" s="3" t="s">
        <v>2</v>
      </c>
    </row>
    <row r="65" spans="2:26" x14ac:dyDescent="0.3">
      <c r="C65" s="67">
        <v>9900</v>
      </c>
      <c r="D65" s="21">
        <v>88.6</v>
      </c>
      <c r="E65" s="5"/>
      <c r="F65" s="70">
        <v>88.7</v>
      </c>
      <c r="G65" s="71">
        <v>12300</v>
      </c>
    </row>
    <row r="66" spans="2:26" x14ac:dyDescent="0.3">
      <c r="C66" s="25">
        <v>9800</v>
      </c>
      <c r="D66" s="22">
        <v>88.55</v>
      </c>
      <c r="E66" s="6"/>
      <c r="F66" s="72">
        <v>88.75</v>
      </c>
      <c r="G66" s="73">
        <v>11300</v>
      </c>
    </row>
    <row r="67" spans="2:26" ht="15" thickBot="1" x14ac:dyDescent="0.35">
      <c r="C67" s="26">
        <v>3400</v>
      </c>
      <c r="D67" s="23">
        <v>88.5</v>
      </c>
      <c r="E67" s="30"/>
      <c r="F67" s="74">
        <v>88.8</v>
      </c>
      <c r="G67" s="75">
        <v>6600</v>
      </c>
    </row>
    <row r="69" spans="2:26" x14ac:dyDescent="0.3">
      <c r="B69" s="20">
        <v>0.43497685185185181</v>
      </c>
      <c r="C69" t="s">
        <v>55</v>
      </c>
      <c r="I69" s="14" t="s">
        <v>57</v>
      </c>
    </row>
    <row r="70" spans="2:26" ht="15" thickBot="1" x14ac:dyDescent="0.35"/>
    <row r="71" spans="2:26" ht="15" thickBot="1" x14ac:dyDescent="0.35">
      <c r="C71" s="228" t="s">
        <v>51</v>
      </c>
      <c r="D71" s="229"/>
      <c r="E71" s="229"/>
      <c r="F71" s="229"/>
      <c r="G71" s="230"/>
    </row>
    <row r="72" spans="2:26" ht="15" thickBot="1" x14ac:dyDescent="0.35">
      <c r="C72" s="228" t="s">
        <v>0</v>
      </c>
      <c r="D72" s="231"/>
      <c r="E72" s="1"/>
      <c r="F72" s="228" t="s">
        <v>1</v>
      </c>
      <c r="G72" s="230"/>
    </row>
    <row r="73" spans="2:26" ht="15" thickBot="1" x14ac:dyDescent="0.35">
      <c r="C73" s="2" t="s">
        <v>2</v>
      </c>
      <c r="D73" s="3" t="s">
        <v>3</v>
      </c>
      <c r="E73" s="4"/>
      <c r="F73" s="2" t="s">
        <v>3</v>
      </c>
      <c r="G73" s="3" t="s">
        <v>2</v>
      </c>
      <c r="M73" s="15"/>
      <c r="N73" s="16" t="s">
        <v>40</v>
      </c>
      <c r="O73" s="17"/>
      <c r="P73" s="18"/>
      <c r="Q73" s="16" t="s">
        <v>41</v>
      </c>
      <c r="R73" s="17"/>
      <c r="S73" s="18"/>
      <c r="T73" s="16" t="s">
        <v>42</v>
      </c>
      <c r="U73" s="17"/>
      <c r="V73" s="18"/>
      <c r="W73" s="16" t="s">
        <v>43</v>
      </c>
      <c r="X73" s="17"/>
      <c r="Y73" s="18"/>
      <c r="Z73" s="16" t="s">
        <v>44</v>
      </c>
    </row>
    <row r="74" spans="2:26" x14ac:dyDescent="0.3">
      <c r="C74" s="67">
        <v>12800</v>
      </c>
      <c r="D74" s="28">
        <v>88.6</v>
      </c>
      <c r="E74" s="5"/>
      <c r="F74" s="125">
        <v>88.7</v>
      </c>
      <c r="G74" s="76">
        <v>12300</v>
      </c>
      <c r="M74" s="15"/>
      <c r="N74" s="16" t="s">
        <v>40</v>
      </c>
      <c r="O74" s="17"/>
      <c r="P74" s="19" t="s">
        <v>5</v>
      </c>
      <c r="Q74" s="16" t="s">
        <v>41</v>
      </c>
      <c r="R74" s="17"/>
      <c r="S74" s="18"/>
      <c r="T74" s="16" t="s">
        <v>42</v>
      </c>
      <c r="U74" s="17"/>
      <c r="V74" s="18"/>
      <c r="W74" s="16" t="s">
        <v>43</v>
      </c>
      <c r="X74" s="17"/>
      <c r="Y74" s="18"/>
      <c r="Z74" s="16" t="s">
        <v>44</v>
      </c>
    </row>
    <row r="75" spans="2:26" x14ac:dyDescent="0.3">
      <c r="C75" s="25">
        <v>9800</v>
      </c>
      <c r="D75" s="22">
        <v>88.55</v>
      </c>
      <c r="E75" s="6"/>
      <c r="F75" s="72">
        <v>88.75</v>
      </c>
      <c r="G75" s="73">
        <v>11300</v>
      </c>
    </row>
    <row r="76" spans="2:26" ht="15" thickBot="1" x14ac:dyDescent="0.35">
      <c r="C76" s="26">
        <v>3400</v>
      </c>
      <c r="D76" s="23">
        <v>88.5</v>
      </c>
      <c r="E76" s="30"/>
      <c r="F76" s="74">
        <v>88.8</v>
      </c>
      <c r="G76" s="75">
        <v>6600</v>
      </c>
    </row>
    <row r="77" spans="2:26" ht="15" thickBot="1" x14ac:dyDescent="0.35">
      <c r="C77" s="77"/>
      <c r="D77" s="78"/>
      <c r="E77" s="6"/>
      <c r="F77" s="68"/>
      <c r="G77" s="69"/>
    </row>
    <row r="78" spans="2:26" ht="15" thickBot="1" x14ac:dyDescent="0.35">
      <c r="C78" s="228" t="s">
        <v>51</v>
      </c>
      <c r="D78" s="229"/>
      <c r="E78" s="229"/>
      <c r="F78" s="229"/>
      <c r="G78" s="230"/>
      <c r="I78" s="49" t="s">
        <v>128</v>
      </c>
    </row>
    <row r="79" spans="2:26" ht="15" thickBot="1" x14ac:dyDescent="0.35">
      <c r="C79" s="228" t="s">
        <v>0</v>
      </c>
      <c r="D79" s="231"/>
      <c r="E79" s="1"/>
      <c r="F79" s="228" t="s">
        <v>1</v>
      </c>
      <c r="G79" s="230"/>
    </row>
    <row r="80" spans="2:26" ht="15" thickBot="1" x14ac:dyDescent="0.35">
      <c r="C80" s="2" t="s">
        <v>2</v>
      </c>
      <c r="D80" s="3" t="s">
        <v>3</v>
      </c>
      <c r="E80" s="4"/>
      <c r="F80" s="2" t="s">
        <v>3</v>
      </c>
      <c r="G80" s="3" t="s">
        <v>2</v>
      </c>
    </row>
    <row r="81" spans="1:35" x14ac:dyDescent="0.3">
      <c r="C81" s="120" t="s">
        <v>129</v>
      </c>
      <c r="D81" s="118">
        <v>88.65</v>
      </c>
      <c r="E81" s="5"/>
      <c r="F81" s="70">
        <v>88.7</v>
      </c>
      <c r="G81" s="76">
        <v>12300</v>
      </c>
      <c r="I81" t="s">
        <v>131</v>
      </c>
    </row>
    <row r="82" spans="1:35" x14ac:dyDescent="0.3">
      <c r="C82" s="121" t="s">
        <v>130</v>
      </c>
      <c r="D82" s="122">
        <v>88.6</v>
      </c>
      <c r="E82" s="6"/>
      <c r="F82" s="72">
        <v>88.75</v>
      </c>
      <c r="G82" s="73">
        <v>11300</v>
      </c>
      <c r="I82" t="s">
        <v>132</v>
      </c>
    </row>
    <row r="83" spans="1:35" ht="15" thickBot="1" x14ac:dyDescent="0.35">
      <c r="C83" s="123">
        <v>9800</v>
      </c>
      <c r="D83" s="124">
        <v>88.55</v>
      </c>
      <c r="E83" s="30"/>
      <c r="F83" s="74">
        <v>88.8</v>
      </c>
      <c r="G83" s="75">
        <v>6600</v>
      </c>
    </row>
    <row r="84" spans="1:35" x14ac:dyDescent="0.3">
      <c r="C84" s="77"/>
      <c r="D84" s="78"/>
      <c r="E84" s="6"/>
      <c r="F84" s="68"/>
      <c r="G84" s="69"/>
    </row>
    <row r="85" spans="1:35" x14ac:dyDescent="0.3">
      <c r="C85" s="77"/>
      <c r="D85" s="78"/>
      <c r="E85" s="6"/>
      <c r="F85" s="68"/>
      <c r="G85" s="69"/>
    </row>
    <row r="86" spans="1:35" ht="15" thickBot="1" x14ac:dyDescent="0.35">
      <c r="A86" s="8" t="s">
        <v>66</v>
      </c>
      <c r="B86" s="31"/>
      <c r="C86" s="9"/>
      <c r="D86" s="32"/>
      <c r="E86" s="32"/>
      <c r="F86" s="32"/>
      <c r="G86" s="32"/>
      <c r="H86" s="9"/>
      <c r="I86" s="9"/>
      <c r="J86" s="9"/>
      <c r="K86" s="9"/>
    </row>
    <row r="87" spans="1:35" ht="15.6" thickBot="1" x14ac:dyDescent="0.4">
      <c r="AB87" s="79" t="s">
        <v>58</v>
      </c>
      <c r="AC87" s="80" t="s">
        <v>59</v>
      </c>
      <c r="AD87" s="81">
        <v>88.35</v>
      </c>
      <c r="AE87" s="82">
        <v>88.3</v>
      </c>
      <c r="AF87" s="82">
        <v>88.25</v>
      </c>
      <c r="AG87" s="82">
        <v>88.2</v>
      </c>
      <c r="AH87" s="81">
        <v>88.15</v>
      </c>
      <c r="AI87" s="80" t="s">
        <v>60</v>
      </c>
    </row>
    <row r="88" spans="1:35" ht="15" thickBot="1" x14ac:dyDescent="0.35">
      <c r="F88" s="79" t="s">
        <v>58</v>
      </c>
      <c r="G88" s="79" t="s">
        <v>27</v>
      </c>
      <c r="H88" s="79" t="s">
        <v>28</v>
      </c>
      <c r="I88" s="83" t="s">
        <v>61</v>
      </c>
      <c r="J88" s="83" t="s">
        <v>62</v>
      </c>
      <c r="K88" s="83" t="s">
        <v>63</v>
      </c>
      <c r="AB88" s="79" t="s">
        <v>27</v>
      </c>
      <c r="AC88" s="84">
        <v>800</v>
      </c>
      <c r="AD88" s="80"/>
      <c r="AE88" s="80">
        <v>600</v>
      </c>
      <c r="AF88" s="80">
        <v>400</v>
      </c>
      <c r="AG88" s="85">
        <v>350</v>
      </c>
      <c r="AH88" s="80">
        <v>250</v>
      </c>
      <c r="AI88" s="80"/>
    </row>
    <row r="89" spans="1:35" ht="15.6" thickBot="1" x14ac:dyDescent="0.4">
      <c r="F89" s="80" t="s">
        <v>59</v>
      </c>
      <c r="G89" s="84">
        <v>800</v>
      </c>
      <c r="H89" s="80"/>
      <c r="I89" s="52">
        <f>G89</f>
        <v>800</v>
      </c>
      <c r="J89" s="52">
        <f t="shared" ref="J89:J93" si="0">J90+H89</f>
        <v>1410</v>
      </c>
      <c r="K89" s="52">
        <f>ABS(I89-J89)</f>
        <v>610</v>
      </c>
      <c r="AB89" s="79" t="s">
        <v>28</v>
      </c>
      <c r="AC89" s="80"/>
      <c r="AD89" s="80">
        <v>60</v>
      </c>
      <c r="AE89" s="80">
        <v>200</v>
      </c>
      <c r="AF89" s="80">
        <v>400</v>
      </c>
      <c r="AG89" s="85">
        <v>250</v>
      </c>
      <c r="AH89" s="80">
        <v>140</v>
      </c>
      <c r="AI89" s="80">
        <v>360</v>
      </c>
    </row>
    <row r="90" spans="1:35" ht="15" thickBot="1" x14ac:dyDescent="0.35">
      <c r="F90" s="81">
        <v>88.35</v>
      </c>
      <c r="G90" s="80"/>
      <c r="H90" s="80">
        <v>60</v>
      </c>
      <c r="I90" s="52">
        <f>I89+G90</f>
        <v>800</v>
      </c>
      <c r="J90" s="52">
        <f t="shared" si="0"/>
        <v>1410</v>
      </c>
      <c r="K90" s="52">
        <f t="shared" ref="K90:K95" si="1">ABS(I90-J90)</f>
        <v>610</v>
      </c>
    </row>
    <row r="91" spans="1:35" ht="15" thickBot="1" x14ac:dyDescent="0.35">
      <c r="F91" s="86">
        <v>88.3</v>
      </c>
      <c r="G91" s="80">
        <v>600</v>
      </c>
      <c r="H91" s="80">
        <v>200</v>
      </c>
      <c r="I91" s="52">
        <f t="shared" ref="I91:I95" si="2">I90+G91</f>
        <v>1400</v>
      </c>
      <c r="J91" s="93">
        <f t="shared" si="0"/>
        <v>1350</v>
      </c>
      <c r="K91" s="52">
        <f t="shared" si="1"/>
        <v>50</v>
      </c>
    </row>
    <row r="92" spans="1:35" ht="15" thickBot="1" x14ac:dyDescent="0.35">
      <c r="F92" s="82">
        <v>88.25</v>
      </c>
      <c r="G92" s="80">
        <v>400</v>
      </c>
      <c r="H92" s="80">
        <v>400</v>
      </c>
      <c r="I92" s="52">
        <f t="shared" si="2"/>
        <v>1800</v>
      </c>
      <c r="J92" s="52">
        <f t="shared" si="0"/>
        <v>1150</v>
      </c>
      <c r="K92" s="92">
        <f t="shared" si="1"/>
        <v>650</v>
      </c>
    </row>
    <row r="93" spans="1:35" ht="15" thickBot="1" x14ac:dyDescent="0.35">
      <c r="F93" s="82">
        <v>88.2</v>
      </c>
      <c r="G93" s="85">
        <v>350</v>
      </c>
      <c r="H93" s="85">
        <v>250</v>
      </c>
      <c r="I93" s="52">
        <f t="shared" si="2"/>
        <v>2150</v>
      </c>
      <c r="J93" s="52">
        <f t="shared" si="0"/>
        <v>750</v>
      </c>
      <c r="K93" s="92">
        <f t="shared" si="1"/>
        <v>1400</v>
      </c>
    </row>
    <row r="94" spans="1:35" ht="15" thickBot="1" x14ac:dyDescent="0.35">
      <c r="F94" s="81">
        <v>88.15</v>
      </c>
      <c r="G94" s="80">
        <v>250</v>
      </c>
      <c r="H94" s="80">
        <v>140</v>
      </c>
      <c r="I94" s="52">
        <f t="shared" si="2"/>
        <v>2400</v>
      </c>
      <c r="J94" s="52">
        <f>J95+H94</f>
        <v>500</v>
      </c>
      <c r="K94" s="52">
        <f t="shared" si="1"/>
        <v>1900</v>
      </c>
    </row>
    <row r="95" spans="1:35" ht="15.6" thickBot="1" x14ac:dyDescent="0.4">
      <c r="F95" s="80" t="s">
        <v>60</v>
      </c>
      <c r="G95" s="80"/>
      <c r="H95" s="80">
        <v>360</v>
      </c>
      <c r="I95" s="52">
        <f t="shared" si="2"/>
        <v>2400</v>
      </c>
      <c r="J95" s="52">
        <f>H95</f>
        <v>360</v>
      </c>
      <c r="K95" s="52">
        <f t="shared" si="1"/>
        <v>2040</v>
      </c>
    </row>
    <row r="96" spans="1:35" ht="15" thickBot="1" x14ac:dyDescent="0.35">
      <c r="F96" s="87"/>
      <c r="H96" s="88"/>
      <c r="I96" s="88"/>
      <c r="J96" s="88"/>
      <c r="K96" s="88"/>
      <c r="M96" s="15"/>
      <c r="N96" s="16" t="s">
        <v>67</v>
      </c>
      <c r="O96" s="17"/>
      <c r="P96" s="18"/>
      <c r="Q96" s="16" t="s">
        <v>68</v>
      </c>
      <c r="R96" s="17"/>
      <c r="S96" s="18"/>
      <c r="T96" s="16" t="s">
        <v>69</v>
      </c>
      <c r="U96" s="17"/>
      <c r="V96" s="18"/>
      <c r="W96" s="16" t="s">
        <v>70</v>
      </c>
      <c r="X96" s="17"/>
      <c r="Y96" s="18"/>
      <c r="Z96" s="16" t="s">
        <v>71</v>
      </c>
    </row>
    <row r="97" spans="1:26" ht="15" thickBot="1" x14ac:dyDescent="0.35">
      <c r="F97" s="89" t="s">
        <v>64</v>
      </c>
      <c r="G97" s="90">
        <v>88.3</v>
      </c>
      <c r="I97" s="88"/>
      <c r="J97" s="88"/>
      <c r="K97" s="88"/>
      <c r="M97" s="15"/>
      <c r="N97" s="16" t="s">
        <v>67</v>
      </c>
      <c r="O97" s="17"/>
      <c r="P97" s="18"/>
      <c r="Q97" s="16" t="s">
        <v>68</v>
      </c>
      <c r="R97" s="17"/>
      <c r="S97" s="18"/>
      <c r="T97" s="16" t="s">
        <v>69</v>
      </c>
      <c r="U97" s="17"/>
      <c r="V97" s="18"/>
      <c r="W97" s="16" t="s">
        <v>70</v>
      </c>
      <c r="X97" s="17"/>
      <c r="Y97" s="19" t="s">
        <v>5</v>
      </c>
      <c r="Z97" s="16" t="s">
        <v>71</v>
      </c>
    </row>
    <row r="98" spans="1:26" ht="15" thickBot="1" x14ac:dyDescent="0.35">
      <c r="F98" s="89" t="s">
        <v>65</v>
      </c>
      <c r="G98" s="91">
        <v>1350</v>
      </c>
      <c r="I98" s="88"/>
      <c r="J98" s="88"/>
      <c r="K98" s="88"/>
    </row>
    <row r="99" spans="1:26" ht="15" thickBot="1" x14ac:dyDescent="0.35">
      <c r="I99" s="88"/>
      <c r="J99" s="88"/>
      <c r="K99" s="88"/>
    </row>
    <row r="100" spans="1:26" ht="15" thickBot="1" x14ac:dyDescent="0.35">
      <c r="C100" s="228" t="s">
        <v>133</v>
      </c>
      <c r="D100" s="229"/>
      <c r="E100" s="229"/>
      <c r="F100" s="229"/>
      <c r="G100" s="230"/>
      <c r="I100" s="88"/>
      <c r="J100" s="88"/>
      <c r="K100" s="88"/>
    </row>
    <row r="101" spans="1:26" ht="15" thickBot="1" x14ac:dyDescent="0.35">
      <c r="C101" s="228" t="s">
        <v>0</v>
      </c>
      <c r="D101" s="231"/>
      <c r="E101" s="1"/>
      <c r="F101" s="228" t="s">
        <v>1</v>
      </c>
      <c r="G101" s="230"/>
      <c r="I101" s="88"/>
      <c r="J101" s="88"/>
      <c r="K101" s="88"/>
    </row>
    <row r="102" spans="1:26" ht="15" thickBot="1" x14ac:dyDescent="0.35">
      <c r="C102" s="2" t="s">
        <v>2</v>
      </c>
      <c r="D102" s="3" t="s">
        <v>3</v>
      </c>
      <c r="E102" s="4"/>
      <c r="F102" s="2" t="s">
        <v>3</v>
      </c>
      <c r="G102" s="3" t="s">
        <v>2</v>
      </c>
      <c r="I102" s="88"/>
      <c r="J102" s="88"/>
      <c r="K102" s="88"/>
    </row>
    <row r="103" spans="1:26" x14ac:dyDescent="0.3">
      <c r="C103" s="120">
        <v>50</v>
      </c>
      <c r="D103" s="126">
        <v>88.3</v>
      </c>
      <c r="E103" s="5"/>
      <c r="F103" s="125">
        <v>88.35</v>
      </c>
      <c r="G103" s="76">
        <v>60</v>
      </c>
      <c r="I103" s="88"/>
      <c r="J103" s="88"/>
      <c r="K103" s="88"/>
    </row>
    <row r="104" spans="1:26" x14ac:dyDescent="0.3">
      <c r="C104" s="121">
        <v>400</v>
      </c>
      <c r="D104" s="122">
        <v>88.25</v>
      </c>
      <c r="E104" s="6"/>
      <c r="F104" s="72"/>
      <c r="G104" s="73"/>
      <c r="I104" s="88"/>
      <c r="J104" s="88"/>
      <c r="K104" s="88"/>
    </row>
    <row r="105" spans="1:26" ht="15" thickBot="1" x14ac:dyDescent="0.35">
      <c r="C105" s="123">
        <v>350</v>
      </c>
      <c r="D105" s="124">
        <v>88.2</v>
      </c>
      <c r="E105" s="30"/>
      <c r="F105" s="74"/>
      <c r="G105" s="75"/>
      <c r="I105" s="88"/>
      <c r="J105" s="88"/>
      <c r="K105" s="88"/>
    </row>
    <row r="106" spans="1:26" x14ac:dyDescent="0.3">
      <c r="I106" s="88"/>
      <c r="J106" s="88"/>
      <c r="K106" s="88"/>
    </row>
    <row r="107" spans="1:26" ht="16.2" x14ac:dyDescent="0.3">
      <c r="A107" s="8" t="s">
        <v>72</v>
      </c>
      <c r="B107" s="31"/>
      <c r="C107" s="9"/>
      <c r="D107" s="32"/>
      <c r="E107" s="32"/>
      <c r="F107" s="32"/>
      <c r="G107" s="32"/>
      <c r="H107" s="9"/>
      <c r="I107" s="9"/>
      <c r="J107" s="9"/>
    </row>
    <row r="108" spans="1:26" x14ac:dyDescent="0.3">
      <c r="B108" s="7" t="s">
        <v>73</v>
      </c>
      <c r="C108" s="33"/>
      <c r="D108" s="9"/>
      <c r="E108" s="9"/>
      <c r="F108" s="9"/>
      <c r="G108" s="9"/>
      <c r="H108" s="9"/>
      <c r="I108" s="9"/>
      <c r="J108" s="9"/>
    </row>
    <row r="110" spans="1:26" ht="15.6" x14ac:dyDescent="0.35">
      <c r="B110" t="s">
        <v>134</v>
      </c>
    </row>
    <row r="111" spans="1:26" ht="15.6" x14ac:dyDescent="0.35">
      <c r="C111" s="34"/>
      <c r="I111" t="s">
        <v>135</v>
      </c>
    </row>
    <row r="112" spans="1:26" x14ac:dyDescent="0.3">
      <c r="B112" t="s">
        <v>9</v>
      </c>
      <c r="C112" s="35">
        <v>3.5999999999999997E-2</v>
      </c>
      <c r="F112" t="s">
        <v>10</v>
      </c>
      <c r="G112" s="36">
        <v>10</v>
      </c>
      <c r="M112" s="15"/>
      <c r="N112" s="96">
        <v>8.5000000000000006E-2</v>
      </c>
      <c r="O112" s="97"/>
      <c r="P112" s="98"/>
      <c r="Q112" s="96">
        <v>9.5000000000000001E-2</v>
      </c>
      <c r="R112" s="97"/>
      <c r="S112" s="98"/>
      <c r="T112" s="96">
        <v>0.105</v>
      </c>
      <c r="U112" s="97"/>
      <c r="V112" s="98"/>
      <c r="W112" s="96">
        <v>0.115</v>
      </c>
      <c r="X112" s="97"/>
      <c r="Y112" s="98"/>
      <c r="Z112" s="96">
        <v>0.125</v>
      </c>
    </row>
    <row r="113" spans="1:26" ht="15.6" x14ac:dyDescent="0.35">
      <c r="B113" t="s">
        <v>11</v>
      </c>
      <c r="C113" s="35">
        <v>3.7999999999999999E-2</v>
      </c>
      <c r="F113" t="s">
        <v>12</v>
      </c>
      <c r="G113" s="37">
        <f>C112/(1-(1+C112)^-G112)</f>
        <v>0.12084819903729262</v>
      </c>
      <c r="I113" s="63" t="s">
        <v>74</v>
      </c>
      <c r="J113" s="95">
        <f>G113/(1+C112)</f>
        <v>0.11664884076958747</v>
      </c>
      <c r="M113" s="15"/>
      <c r="N113" s="96">
        <v>8.5000000000000006E-2</v>
      </c>
      <c r="O113" s="97"/>
      <c r="P113" s="98"/>
      <c r="Q113" s="96">
        <v>9.5000000000000001E-2</v>
      </c>
      <c r="R113" s="97"/>
      <c r="S113" s="98"/>
      <c r="T113" s="96">
        <v>0.105</v>
      </c>
      <c r="U113" s="97"/>
      <c r="V113" s="19" t="s">
        <v>5</v>
      </c>
      <c r="W113" s="96">
        <v>0.115</v>
      </c>
      <c r="X113" s="97"/>
      <c r="Y113" s="98"/>
      <c r="Z113" s="96">
        <v>0.125</v>
      </c>
    </row>
    <row r="114" spans="1:26" x14ac:dyDescent="0.3">
      <c r="B114" t="s">
        <v>13</v>
      </c>
      <c r="C114" s="55">
        <f>(C112/C113)*((1-(1+C113)^-G112)/(1-(1+C112)^-G112))</f>
        <v>0.99001941399036975</v>
      </c>
      <c r="F114" s="35"/>
    </row>
    <row r="115" spans="1:26" x14ac:dyDescent="0.3">
      <c r="D115" t="s">
        <v>14</v>
      </c>
      <c r="F115" t="s">
        <v>75</v>
      </c>
      <c r="G115" t="s">
        <v>77</v>
      </c>
      <c r="H115" s="37">
        <f>(C112/C113)*((1-(1+C113)^-8)/(1-(1+C112)^-8))</f>
        <v>0.99172290524611673</v>
      </c>
    </row>
    <row r="116" spans="1:26" x14ac:dyDescent="0.3">
      <c r="F116" t="s">
        <v>76</v>
      </c>
      <c r="G116" t="s">
        <v>78</v>
      </c>
      <c r="H116" s="37">
        <f>(C112/C113)*((1-(1+C113)^-12)/(1-(1+C112)^-12))</f>
        <v>0.98836440884369625</v>
      </c>
    </row>
    <row r="117" spans="1:26" x14ac:dyDescent="0.3">
      <c r="F117" t="s">
        <v>15</v>
      </c>
      <c r="H117" s="38">
        <f>8+(12-8)*(H115-C114)/(H115-H116)</f>
        <v>10.028873700170434</v>
      </c>
      <c r="I117" s="39">
        <f>ROUND(H117,0)</f>
        <v>10</v>
      </c>
    </row>
    <row r="118" spans="1:26" x14ac:dyDescent="0.3">
      <c r="H118" s="38"/>
      <c r="I118" s="39"/>
    </row>
    <row r="119" spans="1:26" x14ac:dyDescent="0.3">
      <c r="A119" s="8" t="s">
        <v>79</v>
      </c>
      <c r="B119" s="31"/>
      <c r="C119" s="9"/>
      <c r="D119" s="9"/>
      <c r="E119" s="9"/>
      <c r="F119" s="9"/>
      <c r="G119" s="9"/>
      <c r="H119" s="9"/>
      <c r="I119" s="9"/>
      <c r="J119" s="9"/>
    </row>
    <row r="120" spans="1:26" x14ac:dyDescent="0.3">
      <c r="B120" s="99" t="s">
        <v>80</v>
      </c>
      <c r="C120" s="9"/>
      <c r="D120" s="9"/>
      <c r="E120" s="9"/>
      <c r="F120" s="9"/>
      <c r="G120" s="9"/>
      <c r="H120" s="9"/>
      <c r="I120" s="9"/>
      <c r="J120" s="9"/>
    </row>
    <row r="122" spans="1:26" x14ac:dyDescent="0.3">
      <c r="F122" s="63" t="s">
        <v>24</v>
      </c>
      <c r="G122" s="63" t="s">
        <v>25</v>
      </c>
      <c r="H122" s="63" t="s">
        <v>26</v>
      </c>
      <c r="J122" s="63" t="s">
        <v>136</v>
      </c>
    </row>
    <row r="123" spans="1:26" ht="15" thickBot="1" x14ac:dyDescent="0.35">
      <c r="E123">
        <v>0</v>
      </c>
      <c r="H123" s="35">
        <f>-C126</f>
        <v>-1.0104</v>
      </c>
    </row>
    <row r="124" spans="1:26" x14ac:dyDescent="0.3">
      <c r="B124" s="127" t="s">
        <v>9</v>
      </c>
      <c r="C124" s="128">
        <v>4.4999999999999998E-2</v>
      </c>
      <c r="E124">
        <v>1</v>
      </c>
      <c r="F124" s="35">
        <f>C124</f>
        <v>4.4999999999999998E-2</v>
      </c>
      <c r="G124" s="35">
        <f>1/3</f>
        <v>0.33333333333333331</v>
      </c>
      <c r="H124" s="35">
        <f>F124+G124</f>
        <v>0.3783333333333333</v>
      </c>
      <c r="I124" s="37"/>
      <c r="J124" s="55">
        <f>H124/(1+$I$133)^E124</f>
        <v>0.36325812129940782</v>
      </c>
      <c r="M124" s="15"/>
      <c r="N124" s="100">
        <v>0.04</v>
      </c>
      <c r="O124" s="35"/>
      <c r="P124" s="101"/>
      <c r="Q124" s="100">
        <v>4.1500000000000002E-2</v>
      </c>
      <c r="R124" s="102"/>
      <c r="S124" s="101"/>
      <c r="T124" s="100">
        <v>4.2999999999999997E-2</v>
      </c>
      <c r="U124" s="35"/>
      <c r="V124" s="101"/>
      <c r="W124" s="100">
        <v>4.4499999999999998E-2</v>
      </c>
      <c r="X124" s="35"/>
      <c r="Y124" s="101"/>
      <c r="Z124" s="100">
        <v>4.5999999999999999E-2</v>
      </c>
    </row>
    <row r="125" spans="1:26" x14ac:dyDescent="0.3">
      <c r="B125" s="129" t="s">
        <v>10</v>
      </c>
      <c r="C125" s="104">
        <v>6</v>
      </c>
      <c r="E125">
        <v>2</v>
      </c>
      <c r="F125" s="35">
        <f>F124*2/3</f>
        <v>0.03</v>
      </c>
      <c r="H125" s="35">
        <f t="shared" ref="H125:H129" si="3">F125+G125</f>
        <v>0.03</v>
      </c>
      <c r="I125" s="37"/>
      <c r="J125" s="55">
        <f t="shared" ref="J125:J129" si="4">H125/(1+$I$133)^E125</f>
        <v>2.7656849483819468E-2</v>
      </c>
      <c r="M125" s="15"/>
      <c r="N125" s="100">
        <v>0.04</v>
      </c>
      <c r="O125" s="35"/>
      <c r="P125" s="19" t="s">
        <v>5</v>
      </c>
      <c r="Q125" s="100">
        <v>4.1500000000000002E-2</v>
      </c>
      <c r="R125" s="102"/>
      <c r="S125" s="101"/>
      <c r="T125" s="100">
        <v>4.2999999999999997E-2</v>
      </c>
      <c r="U125" s="35"/>
      <c r="V125" s="101"/>
      <c r="W125" s="100">
        <v>4.4499999999999998E-2</v>
      </c>
      <c r="X125" s="35"/>
      <c r="Y125" s="101"/>
      <c r="Z125" s="100">
        <v>4.5999999999999999E-2</v>
      </c>
    </row>
    <row r="126" spans="1:26" ht="15" thickBot="1" x14ac:dyDescent="0.35">
      <c r="B126" s="130" t="s">
        <v>13</v>
      </c>
      <c r="C126" s="131">
        <v>1.0104</v>
      </c>
      <c r="E126">
        <v>3</v>
      </c>
      <c r="F126" s="35">
        <f>F125</f>
        <v>0.03</v>
      </c>
      <c r="G126" s="35">
        <f>G129</f>
        <v>0.33333333333333331</v>
      </c>
      <c r="H126" s="35">
        <f t="shared" si="3"/>
        <v>0.36333333333333329</v>
      </c>
      <c r="I126" s="37"/>
      <c r="J126" s="55">
        <f t="shared" si="4"/>
        <v>0.32160842734691647</v>
      </c>
    </row>
    <row r="127" spans="1:26" x14ac:dyDescent="0.3">
      <c r="C127" s="37"/>
      <c r="E127">
        <v>4</v>
      </c>
      <c r="F127" s="35">
        <f>C124/3</f>
        <v>1.4999999999999999E-2</v>
      </c>
      <c r="H127" s="35">
        <f t="shared" si="3"/>
        <v>1.4999999999999999E-2</v>
      </c>
      <c r="I127" s="37"/>
      <c r="J127" s="55">
        <f t="shared" si="4"/>
        <v>1.2748355389510755E-2</v>
      </c>
    </row>
    <row r="128" spans="1:26" x14ac:dyDescent="0.3">
      <c r="E128">
        <v>5</v>
      </c>
      <c r="F128" s="35">
        <f>C124/3</f>
        <v>1.4999999999999999E-2</v>
      </c>
      <c r="G128" s="35"/>
      <c r="H128" s="35">
        <f t="shared" si="3"/>
        <v>1.4999999999999999E-2</v>
      </c>
      <c r="I128" s="37"/>
      <c r="J128" s="55">
        <f t="shared" si="4"/>
        <v>1.2240379634671871E-2</v>
      </c>
    </row>
    <row r="129" spans="1:35" x14ac:dyDescent="0.3">
      <c r="E129">
        <v>6</v>
      </c>
      <c r="F129" s="35">
        <f>F128</f>
        <v>1.4999999999999999E-2</v>
      </c>
      <c r="G129" s="35">
        <f>G124</f>
        <v>0.33333333333333331</v>
      </c>
      <c r="H129" s="35">
        <f t="shared" si="3"/>
        <v>0.34833333333333333</v>
      </c>
      <c r="I129" s="37"/>
      <c r="J129" s="55">
        <f t="shared" si="4"/>
        <v>0.27292253092723323</v>
      </c>
    </row>
    <row r="130" spans="1:35" ht="15" thickBot="1" x14ac:dyDescent="0.35">
      <c r="F130" s="35"/>
      <c r="G130" s="35"/>
      <c r="H130" s="35"/>
      <c r="I130" s="37"/>
      <c r="J130" s="55"/>
    </row>
    <row r="131" spans="1:35" ht="15" thickBot="1" x14ac:dyDescent="0.35">
      <c r="G131" t="s">
        <v>29</v>
      </c>
      <c r="H131" s="56">
        <f>IRR(H123:H130)</f>
        <v>4.1511523218586088E-2</v>
      </c>
      <c r="I131" s="37"/>
      <c r="J131" s="37">
        <f>SUM(J124:J130)</f>
        <v>1.0104346640815596</v>
      </c>
      <c r="AE131" s="57">
        <v>156</v>
      </c>
      <c r="AF131" s="58">
        <v>500</v>
      </c>
      <c r="AG131" s="59">
        <v>400</v>
      </c>
      <c r="AH131" s="60">
        <v>12100</v>
      </c>
      <c r="AI131" s="61"/>
    </row>
    <row r="132" spans="1:35" x14ac:dyDescent="0.3">
      <c r="B132" t="s">
        <v>30</v>
      </c>
      <c r="AE132" s="57">
        <v>155</v>
      </c>
      <c r="AF132" s="58">
        <v>300</v>
      </c>
      <c r="AG132" s="59">
        <v>250</v>
      </c>
      <c r="AH132" s="59"/>
      <c r="AI132" s="61"/>
    </row>
    <row r="133" spans="1:35" x14ac:dyDescent="0.3">
      <c r="H133" s="38"/>
      <c r="I133" s="94">
        <v>4.1500000000000002E-2</v>
      </c>
    </row>
    <row r="135" spans="1:35" x14ac:dyDescent="0.3">
      <c r="A135" s="40" t="s">
        <v>312</v>
      </c>
      <c r="B135" s="31"/>
      <c r="C135" s="9"/>
      <c r="D135" s="32"/>
      <c r="E135" s="32"/>
      <c r="F135" s="32"/>
      <c r="G135" s="32"/>
      <c r="H135" s="41"/>
      <c r="I135" s="9"/>
    </row>
    <row r="136" spans="1:35" x14ac:dyDescent="0.3">
      <c r="B136" s="7" t="s">
        <v>91</v>
      </c>
      <c r="C136" s="33"/>
      <c r="D136" s="9"/>
      <c r="E136" s="9"/>
      <c r="F136" s="9"/>
      <c r="G136" s="9"/>
      <c r="H136" s="41"/>
      <c r="I136" s="42"/>
    </row>
    <row r="138" spans="1:35" ht="15.6" x14ac:dyDescent="0.35">
      <c r="B138" t="s">
        <v>137</v>
      </c>
    </row>
    <row r="140" spans="1:35" ht="16.2" x14ac:dyDescent="0.3">
      <c r="A140">
        <v>1</v>
      </c>
      <c r="B140" s="52" t="s">
        <v>81</v>
      </c>
      <c r="C140" s="103">
        <v>3.5999999999999997E-2</v>
      </c>
      <c r="E140" t="s">
        <v>86</v>
      </c>
      <c r="F140" s="35">
        <f>C140</f>
        <v>3.5999999999999997E-2</v>
      </c>
      <c r="G140" t="s">
        <v>313</v>
      </c>
      <c r="K140" s="94">
        <f>SQRT((1+F143)*(1+F144))-1</f>
        <v>3.251621815777983E-2</v>
      </c>
      <c r="M140" s="15"/>
      <c r="N140" s="43">
        <v>0.03</v>
      </c>
      <c r="P140" s="15"/>
      <c r="Q140" s="43">
        <v>3.2500000000000001E-2</v>
      </c>
      <c r="R140" s="12"/>
      <c r="S140" s="15"/>
      <c r="T140" s="43">
        <v>3.5000000000000003E-2</v>
      </c>
      <c r="V140" s="15"/>
      <c r="W140" s="43">
        <v>3.7499999999999999E-2</v>
      </c>
      <c r="Y140" s="15"/>
      <c r="Z140" s="43">
        <v>0.04</v>
      </c>
    </row>
    <row r="141" spans="1:35" x14ac:dyDescent="0.3">
      <c r="A141">
        <v>2</v>
      </c>
      <c r="B141" s="52" t="s">
        <v>82</v>
      </c>
      <c r="C141" s="103">
        <v>3.7999999999999999E-2</v>
      </c>
      <c r="E141" t="s">
        <v>87</v>
      </c>
      <c r="F141" s="35">
        <f>((1+C141)^A141)/((1+C140)^A140)-1</f>
        <v>4.0003861003861108E-2</v>
      </c>
      <c r="M141" s="15"/>
      <c r="N141" s="43">
        <v>0.03</v>
      </c>
      <c r="P141" s="19" t="s">
        <v>5</v>
      </c>
      <c r="Q141" s="43">
        <v>3.2500000000000001E-2</v>
      </c>
      <c r="R141" s="12"/>
      <c r="S141" s="15"/>
      <c r="T141" s="43">
        <v>3.5000000000000003E-2</v>
      </c>
      <c r="V141" s="15"/>
      <c r="W141" s="43">
        <v>3.7499999999999999E-2</v>
      </c>
      <c r="Y141" s="15"/>
      <c r="Z141" s="43">
        <v>0.04</v>
      </c>
    </row>
    <row r="142" spans="1:35" ht="16.2" x14ac:dyDescent="0.3">
      <c r="A142">
        <v>3</v>
      </c>
      <c r="B142" s="52" t="s">
        <v>83</v>
      </c>
      <c r="C142" s="103">
        <v>0.04</v>
      </c>
      <c r="E142" t="s">
        <v>88</v>
      </c>
      <c r="F142" s="35">
        <f t="shared" ref="F142:F144" si="5">((1+C142)^A142)/((1+C141)^A141)-1</f>
        <v>4.4011568118621502E-2</v>
      </c>
      <c r="H142" t="s">
        <v>92</v>
      </c>
      <c r="K142" s="94">
        <f>SQRT((1+C144)^5/(1+C142)^3)-1</f>
        <v>3.251621815777983E-2</v>
      </c>
    </row>
    <row r="143" spans="1:35" x14ac:dyDescent="0.3">
      <c r="A143">
        <v>4</v>
      </c>
      <c r="B143" s="52" t="s">
        <v>84</v>
      </c>
      <c r="C143" s="103">
        <v>3.9E-2</v>
      </c>
      <c r="E143" t="s">
        <v>89</v>
      </c>
      <c r="F143" s="35">
        <f t="shared" si="5"/>
        <v>3.600576553343271E-2</v>
      </c>
    </row>
    <row r="144" spans="1:35" x14ac:dyDescent="0.3">
      <c r="A144">
        <v>5</v>
      </c>
      <c r="B144" s="52" t="s">
        <v>85</v>
      </c>
      <c r="C144" s="103">
        <v>3.6999999999999998E-2</v>
      </c>
      <c r="E144" t="s">
        <v>90</v>
      </c>
      <c r="F144" s="35">
        <f t="shared" si="5"/>
        <v>2.90384245206603E-2</v>
      </c>
    </row>
    <row r="146" spans="1:26" x14ac:dyDescent="0.3">
      <c r="A146" s="40" t="s">
        <v>140</v>
      </c>
      <c r="B146" s="9"/>
      <c r="C146" s="9"/>
      <c r="D146" s="9"/>
      <c r="E146" s="9"/>
      <c r="F146" s="9"/>
      <c r="G146" s="9"/>
      <c r="H146" s="9"/>
      <c r="I146" s="9"/>
      <c r="J146" s="9"/>
    </row>
    <row r="148" spans="1:26" x14ac:dyDescent="0.3">
      <c r="B148" t="s">
        <v>17</v>
      </c>
      <c r="C148" s="44">
        <v>0.96499999999999997</v>
      </c>
    </row>
    <row r="149" spans="1:26" x14ac:dyDescent="0.3">
      <c r="B149" t="s">
        <v>93</v>
      </c>
      <c r="C149" s="44">
        <v>0.7</v>
      </c>
      <c r="G149" s="44"/>
      <c r="M149" s="15"/>
      <c r="N149" s="45">
        <v>1.25</v>
      </c>
      <c r="O149" s="46"/>
      <c r="P149" s="47"/>
      <c r="Q149" s="45">
        <v>1.1499999999999999</v>
      </c>
      <c r="R149" s="48"/>
      <c r="S149" s="47"/>
      <c r="T149" s="45">
        <v>1.05</v>
      </c>
      <c r="U149" s="46"/>
      <c r="V149" s="47"/>
      <c r="W149" s="45">
        <v>0.95</v>
      </c>
      <c r="X149" s="46"/>
      <c r="Y149" s="47"/>
      <c r="Z149" s="45">
        <v>0.85</v>
      </c>
    </row>
    <row r="150" spans="1:26" x14ac:dyDescent="0.3">
      <c r="B150" t="s">
        <v>94</v>
      </c>
      <c r="C150" s="44">
        <v>1.623</v>
      </c>
      <c r="F150" t="s">
        <v>139</v>
      </c>
      <c r="G150" s="44"/>
      <c r="M150" s="15"/>
      <c r="N150" s="45">
        <v>1.25</v>
      </c>
      <c r="O150" s="46"/>
      <c r="P150" s="47"/>
      <c r="Q150" s="45">
        <v>1.1499999999999999</v>
      </c>
      <c r="R150" s="48"/>
      <c r="S150" s="47"/>
      <c r="T150" s="45">
        <v>1.05</v>
      </c>
      <c r="U150" s="46"/>
      <c r="V150" s="47"/>
      <c r="W150" s="45">
        <v>0.95</v>
      </c>
      <c r="X150" s="46"/>
      <c r="Y150" s="19" t="s">
        <v>5</v>
      </c>
      <c r="Z150" s="45">
        <v>0.85</v>
      </c>
    </row>
    <row r="151" spans="1:26" x14ac:dyDescent="0.3">
      <c r="C151" s="44"/>
      <c r="G151" s="44"/>
    </row>
    <row r="152" spans="1:26" ht="15" thickBot="1" x14ac:dyDescent="0.35">
      <c r="E152" s="49"/>
      <c r="G152" s="44"/>
    </row>
    <row r="153" spans="1:26" ht="15" thickBot="1" x14ac:dyDescent="0.35">
      <c r="B153" s="50" t="s">
        <v>95</v>
      </c>
      <c r="C153" s="132">
        <f>C148/(C149*C150)</f>
        <v>0.84939706011794747</v>
      </c>
      <c r="E153" s="49"/>
      <c r="G153" s="44"/>
    </row>
    <row r="155" spans="1:26" x14ac:dyDescent="0.3">
      <c r="A155" s="40" t="s">
        <v>101</v>
      </c>
      <c r="B155" s="9"/>
      <c r="C155" s="9"/>
      <c r="D155" s="9"/>
      <c r="E155" s="9"/>
      <c r="F155" s="9"/>
      <c r="G155" s="9"/>
      <c r="H155" s="9"/>
      <c r="I155" s="9"/>
      <c r="J155" s="9"/>
    </row>
    <row r="156" spans="1:26" x14ac:dyDescent="0.3">
      <c r="B156" s="7" t="s">
        <v>96</v>
      </c>
      <c r="C156" s="9"/>
      <c r="D156" s="9"/>
      <c r="E156" s="9"/>
      <c r="F156" s="9"/>
      <c r="G156" s="9"/>
      <c r="H156" s="9"/>
      <c r="I156" s="9"/>
      <c r="J156" s="9"/>
    </row>
    <row r="157" spans="1:26" x14ac:dyDescent="0.3">
      <c r="C157" t="s">
        <v>102</v>
      </c>
      <c r="D157" t="s">
        <v>103</v>
      </c>
    </row>
    <row r="158" spans="1:26" x14ac:dyDescent="0.3">
      <c r="B158" t="s">
        <v>17</v>
      </c>
      <c r="C158" s="133">
        <v>0.96499999999999997</v>
      </c>
      <c r="D158" s="105">
        <f>C158*(1+G158/2)/(1+G159/2)</f>
        <v>0.96977722772277219</v>
      </c>
      <c r="F158" s="52" t="s">
        <v>98</v>
      </c>
      <c r="G158" s="35">
        <v>0.03</v>
      </c>
    </row>
    <row r="159" spans="1:26" x14ac:dyDescent="0.3">
      <c r="B159" t="s">
        <v>97</v>
      </c>
      <c r="C159" s="133">
        <v>1.2689999999999999</v>
      </c>
      <c r="D159" s="105">
        <f>C159*(1+G160/2)/(1+G159/2)</f>
        <v>1.2784232673267326</v>
      </c>
      <c r="F159" s="52" t="s">
        <v>99</v>
      </c>
      <c r="G159" s="35">
        <v>0.02</v>
      </c>
      <c r="I159" t="s">
        <v>106</v>
      </c>
    </row>
    <row r="160" spans="1:26" x14ac:dyDescent="0.3">
      <c r="D160" s="63"/>
      <c r="F160" s="52" t="s">
        <v>100</v>
      </c>
      <c r="G160" s="35">
        <v>3.5000000000000003E-2</v>
      </c>
      <c r="I160" s="105">
        <f>C159/C158</f>
        <v>1.3150259067357513</v>
      </c>
    </row>
    <row r="161" spans="1:26" x14ac:dyDescent="0.3">
      <c r="D161" s="63"/>
      <c r="F161" s="52"/>
      <c r="G161" s="35"/>
      <c r="M161" s="15"/>
      <c r="N161" s="45">
        <v>0.97</v>
      </c>
      <c r="O161" s="46"/>
      <c r="P161" s="47"/>
      <c r="Q161" s="45">
        <v>1.22</v>
      </c>
      <c r="R161" s="48"/>
      <c r="S161" s="47"/>
      <c r="T161" s="45">
        <v>1.28</v>
      </c>
      <c r="U161" s="46"/>
      <c r="V161" s="47"/>
      <c r="W161" s="45">
        <v>1.32</v>
      </c>
      <c r="X161" s="46"/>
      <c r="Y161" s="47"/>
      <c r="Z161" s="45">
        <v>1.35</v>
      </c>
    </row>
    <row r="162" spans="1:26" ht="15" thickBot="1" x14ac:dyDescent="0.35">
      <c r="B162" t="s">
        <v>107</v>
      </c>
      <c r="D162" s="63"/>
      <c r="G162" t="s">
        <v>108</v>
      </c>
      <c r="M162" s="15"/>
      <c r="N162" s="45">
        <v>0.97</v>
      </c>
      <c r="O162" s="46"/>
      <c r="P162" s="47"/>
      <c r="Q162" s="45">
        <v>1.22</v>
      </c>
      <c r="R162" s="48"/>
      <c r="S162" s="47"/>
      <c r="T162" s="45">
        <v>1.28</v>
      </c>
      <c r="U162" s="46"/>
      <c r="V162" s="19" t="s">
        <v>5</v>
      </c>
      <c r="W162" s="45">
        <v>1.32</v>
      </c>
      <c r="X162" s="46"/>
      <c r="Y162" s="47"/>
      <c r="Z162" s="45">
        <v>1.35</v>
      </c>
    </row>
    <row r="163" spans="1:26" ht="15" thickBot="1" x14ac:dyDescent="0.35">
      <c r="B163" t="s">
        <v>104</v>
      </c>
      <c r="D163" s="106">
        <f>D159/D158</f>
        <v>1.3182648868016029</v>
      </c>
      <c r="F163" s="107" t="s">
        <v>105</v>
      </c>
      <c r="G163" t="s">
        <v>104</v>
      </c>
      <c r="I163" s="106">
        <f>I160*(1+G160/2)/(1+G158/2)</f>
        <v>1.3182648868016031</v>
      </c>
    </row>
    <row r="165" spans="1:26" x14ac:dyDescent="0.3">
      <c r="A165" s="40" t="s">
        <v>121</v>
      </c>
      <c r="B165" s="9"/>
      <c r="C165" s="9"/>
      <c r="D165" s="9"/>
      <c r="E165" s="9"/>
      <c r="F165" s="9"/>
      <c r="G165" s="9"/>
      <c r="H165" s="9"/>
      <c r="I165" s="9"/>
      <c r="J165" s="9"/>
    </row>
    <row r="166" spans="1:26" x14ac:dyDescent="0.3">
      <c r="B166" s="40" t="s">
        <v>122</v>
      </c>
      <c r="C166" s="9"/>
      <c r="D166" s="9"/>
      <c r="E166" s="9"/>
      <c r="F166" s="9"/>
      <c r="G166" s="9"/>
      <c r="H166" s="9"/>
      <c r="I166" s="9"/>
      <c r="J166" s="9"/>
    </row>
    <row r="168" spans="1:26" x14ac:dyDescent="0.3">
      <c r="B168" t="s">
        <v>145</v>
      </c>
    </row>
    <row r="169" spans="1:26" ht="15" thickBot="1" x14ac:dyDescent="0.35"/>
    <row r="170" spans="1:26" x14ac:dyDescent="0.3">
      <c r="B170" t="s">
        <v>112</v>
      </c>
      <c r="C170" s="52">
        <v>130</v>
      </c>
      <c r="D170" s="52">
        <v>138</v>
      </c>
      <c r="F170" s="135" t="s">
        <v>141</v>
      </c>
      <c r="H170" s="108" t="s">
        <v>112</v>
      </c>
      <c r="I170" s="117">
        <f>C170</f>
        <v>130</v>
      </c>
      <c r="J170" s="118">
        <f>D170</f>
        <v>138</v>
      </c>
    </row>
    <row r="171" spans="1:26" x14ac:dyDescent="0.3">
      <c r="B171" t="s">
        <v>113</v>
      </c>
      <c r="C171" s="52">
        <v>1.29</v>
      </c>
      <c r="D171" s="52">
        <v>1.33</v>
      </c>
      <c r="F171" s="135" t="s">
        <v>143</v>
      </c>
      <c r="H171" s="64" t="s">
        <v>116</v>
      </c>
      <c r="I171" s="112">
        <f>C173</f>
        <v>7.4999999999999997E-3</v>
      </c>
      <c r="J171" s="113">
        <f>D173</f>
        <v>9.4999999999999998E-3</v>
      </c>
    </row>
    <row r="172" spans="1:26" x14ac:dyDescent="0.3">
      <c r="B172" t="s">
        <v>114</v>
      </c>
      <c r="C172" s="52">
        <v>0.63</v>
      </c>
      <c r="D172" s="52">
        <v>0.67</v>
      </c>
      <c r="H172" s="64" t="s">
        <v>117</v>
      </c>
      <c r="I172" s="112">
        <f>1/D171</f>
        <v>0.75187969924812026</v>
      </c>
      <c r="J172" s="113">
        <f>1/C171</f>
        <v>0.77519379844961234</v>
      </c>
    </row>
    <row r="173" spans="1:26" x14ac:dyDescent="0.3">
      <c r="B173" t="s">
        <v>116</v>
      </c>
      <c r="C173" s="52">
        <v>7.4999999999999997E-3</v>
      </c>
      <c r="D173" s="119">
        <v>9.4999999999999998E-3</v>
      </c>
      <c r="H173" s="64"/>
      <c r="I173" s="114"/>
      <c r="J173" s="104"/>
    </row>
    <row r="174" spans="1:26" ht="15" thickBot="1" x14ac:dyDescent="0.35">
      <c r="B174" t="s">
        <v>115</v>
      </c>
      <c r="C174" s="52">
        <v>0.17499999999999999</v>
      </c>
      <c r="D174" s="119">
        <v>0.2</v>
      </c>
      <c r="H174" s="109" t="s">
        <v>16</v>
      </c>
      <c r="I174" s="115">
        <f>I170*I171*I172</f>
        <v>0.73308270676691722</v>
      </c>
      <c r="J174" s="137">
        <f>J170*J171*J172</f>
        <v>1.0162790697674418</v>
      </c>
    </row>
    <row r="175" spans="1:26" ht="15" thickBot="1" x14ac:dyDescent="0.35">
      <c r="B175" t="s">
        <v>120</v>
      </c>
      <c r="C175" s="52">
        <v>0.105</v>
      </c>
      <c r="D175" s="52">
        <v>0.128</v>
      </c>
      <c r="I175" s="52"/>
      <c r="J175" s="52"/>
    </row>
    <row r="176" spans="1:26" x14ac:dyDescent="0.3">
      <c r="F176" s="135" t="s">
        <v>142</v>
      </c>
      <c r="H176" s="108" t="s">
        <v>118</v>
      </c>
      <c r="I176" s="110">
        <f>1/D172</f>
        <v>1.4925373134328357</v>
      </c>
      <c r="J176" s="111">
        <f>1/C172</f>
        <v>1.5873015873015872</v>
      </c>
      <c r="M176" s="15"/>
      <c r="N176" s="45" t="s">
        <v>124</v>
      </c>
      <c r="O176" s="46"/>
      <c r="P176" s="47"/>
      <c r="Q176" s="45" t="s">
        <v>125</v>
      </c>
      <c r="R176" s="48"/>
      <c r="S176" s="47"/>
      <c r="T176" s="45" t="s">
        <v>123</v>
      </c>
      <c r="U176" s="46"/>
      <c r="V176" s="47"/>
      <c r="W176" s="45" t="s">
        <v>126</v>
      </c>
      <c r="X176" s="46"/>
      <c r="Y176" s="47"/>
      <c r="Z176" s="45" t="s">
        <v>127</v>
      </c>
    </row>
    <row r="177" spans="1:26" x14ac:dyDescent="0.3">
      <c r="F177" s="135" t="s">
        <v>144</v>
      </c>
      <c r="H177" s="64" t="s">
        <v>119</v>
      </c>
      <c r="I177" s="112">
        <f>1/D174</f>
        <v>5</v>
      </c>
      <c r="J177" s="113">
        <f>1/C174</f>
        <v>5.7142857142857144</v>
      </c>
      <c r="M177" s="15"/>
      <c r="N177" s="45" t="s">
        <v>124</v>
      </c>
      <c r="O177" s="46"/>
      <c r="P177" s="47"/>
      <c r="Q177" s="45" t="s">
        <v>125</v>
      </c>
      <c r="R177" s="48"/>
      <c r="S177" s="19" t="s">
        <v>5</v>
      </c>
      <c r="T177" s="45" t="s">
        <v>123</v>
      </c>
      <c r="U177" s="46"/>
      <c r="V177" s="47"/>
      <c r="W177" s="45" t="s">
        <v>126</v>
      </c>
      <c r="X177" s="46"/>
      <c r="Y177" s="47"/>
      <c r="Z177" s="45" t="s">
        <v>127</v>
      </c>
    </row>
    <row r="178" spans="1:26" x14ac:dyDescent="0.3">
      <c r="H178" s="64" t="s">
        <v>120</v>
      </c>
      <c r="I178" s="112">
        <f>C175</f>
        <v>0.105</v>
      </c>
      <c r="J178" s="113">
        <f>D175</f>
        <v>0.128</v>
      </c>
    </row>
    <row r="179" spans="1:26" x14ac:dyDescent="0.3">
      <c r="H179" s="64"/>
      <c r="I179" s="114"/>
      <c r="J179" s="104"/>
    </row>
    <row r="180" spans="1:26" ht="15" thickBot="1" x14ac:dyDescent="0.35">
      <c r="H180" s="109" t="s">
        <v>16</v>
      </c>
      <c r="I180" s="136">
        <f>I176*I177*I178</f>
        <v>0.78358208955223874</v>
      </c>
      <c r="J180" s="116">
        <f>J176*J177*J178</f>
        <v>1.1609977324263039</v>
      </c>
    </row>
    <row r="181" spans="1:26" x14ac:dyDescent="0.3">
      <c r="D181" t="s">
        <v>157</v>
      </c>
      <c r="G181" t="s">
        <v>138</v>
      </c>
    </row>
    <row r="182" spans="1:26" x14ac:dyDescent="0.3">
      <c r="A182" s="40" t="s">
        <v>110</v>
      </c>
      <c r="B182" s="31"/>
      <c r="C182" s="9"/>
      <c r="D182" s="32"/>
      <c r="E182" s="32"/>
      <c r="F182" s="32"/>
      <c r="G182" s="9"/>
      <c r="H182" s="9"/>
      <c r="I182" s="9"/>
      <c r="J182" s="9"/>
    </row>
    <row r="183" spans="1:26" x14ac:dyDescent="0.3">
      <c r="A183" s="139"/>
      <c r="B183" s="140"/>
      <c r="C183" s="141"/>
      <c r="D183" s="142"/>
      <c r="E183" s="142"/>
      <c r="F183" s="142"/>
      <c r="G183" s="141"/>
      <c r="H183" s="141"/>
      <c r="I183" s="141"/>
      <c r="J183" s="141"/>
    </row>
    <row r="184" spans="1:26" x14ac:dyDescent="0.3">
      <c r="A184" s="139"/>
      <c r="B184" s="143" t="s">
        <v>155</v>
      </c>
      <c r="C184" s="141"/>
      <c r="D184" s="142"/>
      <c r="E184" s="142"/>
      <c r="F184" s="142"/>
      <c r="G184" s="141"/>
      <c r="H184" s="143" t="s">
        <v>156</v>
      </c>
      <c r="I184" s="141"/>
      <c r="J184" s="141"/>
    </row>
    <row r="186" spans="1:26" x14ac:dyDescent="0.3">
      <c r="A186" t="s">
        <v>146</v>
      </c>
      <c r="C186" s="54">
        <v>1192</v>
      </c>
      <c r="D186" s="52">
        <v>5</v>
      </c>
      <c r="E186" t="s">
        <v>18</v>
      </c>
      <c r="F186" s="51">
        <f>C186*D186*1000/C194</f>
        <v>191639.87138263666</v>
      </c>
      <c r="H186" t="s">
        <v>146</v>
      </c>
      <c r="I186" s="54">
        <v>1192</v>
      </c>
      <c r="J186" s="51">
        <f>F186</f>
        <v>191639.87138263666</v>
      </c>
    </row>
    <row r="187" spans="1:26" x14ac:dyDescent="0.3">
      <c r="A187" t="s">
        <v>147</v>
      </c>
      <c r="C187" s="138">
        <v>71.8</v>
      </c>
      <c r="D187" s="54">
        <v>600</v>
      </c>
      <c r="E187" t="s">
        <v>109</v>
      </c>
      <c r="F187" s="51">
        <f>C187*D187</f>
        <v>43080</v>
      </c>
      <c r="H187" t="s">
        <v>147</v>
      </c>
      <c r="I187" s="138">
        <v>71.8</v>
      </c>
      <c r="J187" s="51">
        <f t="shared" ref="J187:J188" si="6">F187</f>
        <v>43080</v>
      </c>
    </row>
    <row r="188" spans="1:26" x14ac:dyDescent="0.3">
      <c r="A188" t="s">
        <v>148</v>
      </c>
      <c r="C188" s="54">
        <v>1461</v>
      </c>
      <c r="D188" s="52">
        <v>20</v>
      </c>
      <c r="E188" t="s">
        <v>21</v>
      </c>
      <c r="F188">
        <f>C188*D188</f>
        <v>29220</v>
      </c>
      <c r="H188" t="s">
        <v>148</v>
      </c>
      <c r="I188" s="54">
        <v>1461</v>
      </c>
      <c r="J188" s="51">
        <f t="shared" si="6"/>
        <v>29220</v>
      </c>
    </row>
    <row r="189" spans="1:26" x14ac:dyDescent="0.3">
      <c r="A189" t="s">
        <v>149</v>
      </c>
      <c r="C189" s="52">
        <v>5.12</v>
      </c>
      <c r="D189" s="54">
        <v>5000</v>
      </c>
      <c r="E189" t="s">
        <v>21</v>
      </c>
      <c r="F189" s="51">
        <f>C189*D189*1000/C195</f>
        <v>940830.57699375227</v>
      </c>
      <c r="H189" t="s">
        <v>154</v>
      </c>
      <c r="I189" s="63">
        <v>198</v>
      </c>
      <c r="J189">
        <f>D189*I189</f>
        <v>990000</v>
      </c>
      <c r="M189" s="15"/>
      <c r="N189" s="16">
        <v>104000</v>
      </c>
      <c r="P189" s="15"/>
      <c r="Q189" s="16">
        <v>260000</v>
      </c>
      <c r="R189" s="12"/>
      <c r="S189" s="15"/>
      <c r="T189" s="16">
        <v>290000</v>
      </c>
      <c r="V189" s="15"/>
      <c r="W189" s="16">
        <v>1000000</v>
      </c>
      <c r="Y189" s="15"/>
      <c r="Z189" s="16">
        <v>1700000</v>
      </c>
    </row>
    <row r="190" spans="1:26" x14ac:dyDescent="0.3">
      <c r="A190" t="s">
        <v>19</v>
      </c>
      <c r="C190" s="52">
        <v>1.18</v>
      </c>
      <c r="M190" s="15"/>
      <c r="N190" s="16">
        <v>104000</v>
      </c>
      <c r="P190" s="15"/>
      <c r="Q190" s="16">
        <v>260000</v>
      </c>
      <c r="R190" s="12"/>
      <c r="S190" s="15"/>
      <c r="T190" s="16">
        <v>290000</v>
      </c>
      <c r="V190" s="19" t="s">
        <v>5</v>
      </c>
      <c r="W190" s="16">
        <v>1000000</v>
      </c>
      <c r="Y190" s="15"/>
      <c r="Z190" s="16">
        <v>1700000</v>
      </c>
    </row>
    <row r="191" spans="1:26" ht="15" thickBot="1" x14ac:dyDescent="0.35">
      <c r="F191" s="51">
        <f>F186+F187+F188+F189</f>
        <v>1204770.448376389</v>
      </c>
      <c r="G191" t="s">
        <v>22</v>
      </c>
    </row>
    <row r="192" spans="1:26" ht="15" thickBot="1" x14ac:dyDescent="0.35">
      <c r="F192" s="53">
        <f>F191/C190</f>
        <v>1020991.9054037195</v>
      </c>
      <c r="G192" t="s">
        <v>23</v>
      </c>
      <c r="I192" s="53">
        <f>(J186+J187+J188)/C190+J189</f>
        <v>1213677.8571039294</v>
      </c>
      <c r="J192" t="s">
        <v>23</v>
      </c>
    </row>
    <row r="194" spans="2:6" x14ac:dyDescent="0.3">
      <c r="B194" t="s">
        <v>150</v>
      </c>
      <c r="C194" s="138">
        <v>31.1</v>
      </c>
      <c r="D194" t="s">
        <v>20</v>
      </c>
      <c r="F194" t="s">
        <v>152</v>
      </c>
    </row>
    <row r="195" spans="2:6" x14ac:dyDescent="0.3">
      <c r="B195" t="s">
        <v>151</v>
      </c>
      <c r="C195" s="52">
        <v>27.21</v>
      </c>
      <c r="D195" t="s">
        <v>111</v>
      </c>
      <c r="F195" t="s">
        <v>153</v>
      </c>
    </row>
  </sheetData>
  <mergeCells count="30">
    <mergeCell ref="C78:G78"/>
    <mergeCell ref="C79:D79"/>
    <mergeCell ref="F79:G79"/>
    <mergeCell ref="C100:G100"/>
    <mergeCell ref="C101:D101"/>
    <mergeCell ref="F101:G101"/>
    <mergeCell ref="C4:G4"/>
    <mergeCell ref="C5:D5"/>
    <mergeCell ref="F5:G5"/>
    <mergeCell ref="C14:G14"/>
    <mergeCell ref="C15:D15"/>
    <mergeCell ref="F15:G15"/>
    <mergeCell ref="C23:G23"/>
    <mergeCell ref="C24:D24"/>
    <mergeCell ref="F24:G24"/>
    <mergeCell ref="C32:G32"/>
    <mergeCell ref="C33:D33"/>
    <mergeCell ref="F33:G33"/>
    <mergeCell ref="C44:G44"/>
    <mergeCell ref="C45:D45"/>
    <mergeCell ref="F45:G45"/>
    <mergeCell ref="C53:G53"/>
    <mergeCell ref="C54:D54"/>
    <mergeCell ref="F54:G54"/>
    <mergeCell ref="C62:G62"/>
    <mergeCell ref="C63:D63"/>
    <mergeCell ref="F63:G63"/>
    <mergeCell ref="C71:G71"/>
    <mergeCell ref="C72:D72"/>
    <mergeCell ref="F72:G7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6"/>
  <sheetViews>
    <sheetView workbookViewId="0">
      <selection activeCell="J6" sqref="J6"/>
    </sheetView>
  </sheetViews>
  <sheetFormatPr baseColWidth="10" defaultRowHeight="14.4" x14ac:dyDescent="0.3"/>
  <cols>
    <col min="1" max="1" width="4.33203125" customWidth="1"/>
    <col min="2" max="2" width="9.109375" customWidth="1"/>
    <col min="5" max="5" width="2.44140625" customWidth="1"/>
    <col min="11" max="11" width="3.33203125" customWidth="1"/>
    <col min="12" max="12" width="3.6640625" customWidth="1"/>
    <col min="13" max="13" width="4.44140625" customWidth="1"/>
    <col min="15" max="16" width="4.109375" customWidth="1"/>
    <col min="18" max="19" width="4.33203125" customWidth="1"/>
    <col min="21" max="22" width="3.5546875" customWidth="1"/>
    <col min="24" max="25" width="3.88671875" customWidth="1"/>
    <col min="30" max="30" width="2.44140625" customWidth="1"/>
    <col min="31" max="31" width="8.109375" customWidth="1"/>
    <col min="32" max="33" width="10.109375" customWidth="1"/>
    <col min="34" max="34" width="2.5546875" customWidth="1"/>
  </cols>
  <sheetData>
    <row r="1" spans="1:11" ht="15" thickBot="1" x14ac:dyDescent="0.35">
      <c r="A1" s="172"/>
      <c r="B1" s="173" t="s">
        <v>310</v>
      </c>
      <c r="C1" s="174"/>
      <c r="D1" s="174"/>
      <c r="E1" s="175"/>
      <c r="F1" s="175"/>
      <c r="G1" s="175"/>
    </row>
    <row r="3" spans="1:11" ht="15" thickBot="1" x14ac:dyDescent="0.35"/>
    <row r="4" spans="1:11" ht="15" thickBot="1" x14ac:dyDescent="0.35">
      <c r="C4" s="228" t="s">
        <v>206</v>
      </c>
      <c r="D4" s="229"/>
      <c r="E4" s="229"/>
      <c r="F4" s="229"/>
      <c r="G4" s="230"/>
    </row>
    <row r="5" spans="1:11" ht="15" thickBot="1" x14ac:dyDescent="0.35">
      <c r="C5" s="228" t="s">
        <v>0</v>
      </c>
      <c r="D5" s="231"/>
      <c r="E5" s="1"/>
      <c r="F5" s="228" t="s">
        <v>1</v>
      </c>
      <c r="G5" s="230"/>
    </row>
    <row r="6" spans="1:11" ht="15" thickBot="1" x14ac:dyDescent="0.35">
      <c r="C6" s="2" t="s">
        <v>2</v>
      </c>
      <c r="D6" s="3" t="s">
        <v>3</v>
      </c>
      <c r="E6" s="4"/>
      <c r="F6" s="2" t="s">
        <v>3</v>
      </c>
      <c r="G6" s="3" t="s">
        <v>2</v>
      </c>
    </row>
    <row r="7" spans="1:11" x14ac:dyDescent="0.3">
      <c r="C7" s="24">
        <v>2600</v>
      </c>
      <c r="D7" s="21">
        <v>35.6</v>
      </c>
      <c r="E7" s="5"/>
      <c r="F7" s="21">
        <v>35.700000000000003</v>
      </c>
      <c r="G7" s="24">
        <v>1400</v>
      </c>
    </row>
    <row r="8" spans="1:11" x14ac:dyDescent="0.3">
      <c r="C8" s="25">
        <v>1800</v>
      </c>
      <c r="D8" s="22">
        <v>35.549999999999997</v>
      </c>
      <c r="E8" s="6"/>
      <c r="F8" s="22">
        <v>35.75</v>
      </c>
      <c r="G8" s="25">
        <v>5800</v>
      </c>
    </row>
    <row r="9" spans="1:11" ht="15" thickBot="1" x14ac:dyDescent="0.35">
      <c r="C9" s="26">
        <v>3400</v>
      </c>
      <c r="D9" s="23">
        <v>35.5</v>
      </c>
      <c r="E9" s="6"/>
      <c r="F9" s="23">
        <v>35.799999999999997</v>
      </c>
      <c r="G9" s="26">
        <v>3500</v>
      </c>
    </row>
    <row r="11" spans="1:11" x14ac:dyDescent="0.3">
      <c r="A11" s="7" t="s">
        <v>7</v>
      </c>
      <c r="B11" s="8" t="s">
        <v>207</v>
      </c>
      <c r="C11" s="9"/>
      <c r="D11" s="9"/>
      <c r="E11" s="9"/>
      <c r="F11" s="9"/>
      <c r="G11" s="9"/>
      <c r="I11" s="10"/>
      <c r="J11" s="10"/>
      <c r="K11" s="10"/>
    </row>
    <row r="12" spans="1:11" x14ac:dyDescent="0.3">
      <c r="B12" s="11">
        <v>0.68586805555555552</v>
      </c>
      <c r="C12" s="9" t="s">
        <v>208</v>
      </c>
      <c r="D12" s="9"/>
      <c r="E12" s="9"/>
    </row>
    <row r="13" spans="1:11" ht="15" thickBot="1" x14ac:dyDescent="0.35"/>
    <row r="14" spans="1:11" ht="15" thickBot="1" x14ac:dyDescent="0.35">
      <c r="C14" s="228" t="s">
        <v>209</v>
      </c>
      <c r="D14" s="229"/>
      <c r="E14" s="229"/>
      <c r="F14" s="229"/>
      <c r="G14" s="230"/>
    </row>
    <row r="15" spans="1:11" ht="15" thickBot="1" x14ac:dyDescent="0.35">
      <c r="C15" s="228" t="s">
        <v>0</v>
      </c>
      <c r="D15" s="231"/>
      <c r="E15" s="1"/>
      <c r="F15" s="228" t="s">
        <v>1</v>
      </c>
      <c r="G15" s="230"/>
    </row>
    <row r="16" spans="1:11" ht="15" thickBot="1" x14ac:dyDescent="0.35">
      <c r="C16" s="2" t="s">
        <v>2</v>
      </c>
      <c r="D16" s="3" t="s">
        <v>3</v>
      </c>
      <c r="E16" s="4"/>
      <c r="F16" s="2" t="s">
        <v>3</v>
      </c>
      <c r="G16" s="3" t="s">
        <v>2</v>
      </c>
    </row>
    <row r="17" spans="2:9" x14ac:dyDescent="0.3">
      <c r="C17" s="24">
        <v>2600</v>
      </c>
      <c r="D17" s="21">
        <v>35.6</v>
      </c>
      <c r="E17" s="5"/>
      <c r="F17" s="28">
        <v>35.65</v>
      </c>
      <c r="G17" s="27">
        <v>3600</v>
      </c>
      <c r="I17" t="s">
        <v>6</v>
      </c>
    </row>
    <row r="18" spans="2:9" x14ac:dyDescent="0.3">
      <c r="C18" s="25">
        <v>1800</v>
      </c>
      <c r="D18" s="22">
        <v>35.549999999999997</v>
      </c>
      <c r="E18" s="6"/>
      <c r="F18" s="22">
        <v>35.700000000000003</v>
      </c>
      <c r="G18" s="25">
        <v>1400</v>
      </c>
    </row>
    <row r="19" spans="2:9" ht="15" thickBot="1" x14ac:dyDescent="0.35">
      <c r="C19" s="26">
        <v>3400</v>
      </c>
      <c r="D19" s="23">
        <v>35.5</v>
      </c>
      <c r="E19" s="6"/>
      <c r="F19" s="23">
        <v>35.75</v>
      </c>
      <c r="G19" s="26">
        <v>5800</v>
      </c>
    </row>
    <row r="21" spans="2:9" x14ac:dyDescent="0.3">
      <c r="B21" s="11">
        <v>0.68608796296296293</v>
      </c>
      <c r="C21" s="9" t="s">
        <v>210</v>
      </c>
      <c r="D21" s="9"/>
      <c r="E21" s="9"/>
    </row>
    <row r="22" spans="2:9" ht="15" thickBot="1" x14ac:dyDescent="0.35"/>
    <row r="23" spans="2:9" ht="15" thickBot="1" x14ac:dyDescent="0.35">
      <c r="C23" s="228" t="s">
        <v>211</v>
      </c>
      <c r="D23" s="229"/>
      <c r="E23" s="229"/>
      <c r="F23" s="229"/>
      <c r="G23" s="230"/>
    </row>
    <row r="24" spans="2:9" ht="15" thickBot="1" x14ac:dyDescent="0.35">
      <c r="C24" s="228" t="s">
        <v>0</v>
      </c>
      <c r="D24" s="231"/>
      <c r="E24" s="1"/>
      <c r="F24" s="228" t="s">
        <v>1</v>
      </c>
      <c r="G24" s="230"/>
    </row>
    <row r="25" spans="2:9" ht="15" thickBot="1" x14ac:dyDescent="0.35">
      <c r="C25" s="2" t="s">
        <v>2</v>
      </c>
      <c r="D25" s="3" t="s">
        <v>3</v>
      </c>
      <c r="E25" s="4"/>
      <c r="F25" s="2" t="s">
        <v>3</v>
      </c>
      <c r="G25" s="3" t="s">
        <v>2</v>
      </c>
    </row>
    <row r="26" spans="2:9" x14ac:dyDescent="0.3">
      <c r="C26" s="24">
        <v>2600</v>
      </c>
      <c r="D26" s="21">
        <v>35.6</v>
      </c>
      <c r="E26" s="5"/>
      <c r="F26" s="21">
        <v>35.65</v>
      </c>
      <c r="G26" s="27">
        <v>1800</v>
      </c>
    </row>
    <row r="27" spans="2:9" x14ac:dyDescent="0.3">
      <c r="C27" s="25">
        <v>1800</v>
      </c>
      <c r="D27" s="22">
        <v>35.549999999999997</v>
      </c>
      <c r="E27" s="6"/>
      <c r="F27" s="22">
        <v>35.700000000000003</v>
      </c>
      <c r="G27" s="25">
        <v>1400</v>
      </c>
      <c r="I27" t="s">
        <v>212</v>
      </c>
    </row>
    <row r="28" spans="2:9" ht="15" thickBot="1" x14ac:dyDescent="0.35">
      <c r="C28" s="26">
        <v>3400</v>
      </c>
      <c r="D28" s="23">
        <v>35.5</v>
      </c>
      <c r="E28" s="6"/>
      <c r="F28" s="23">
        <v>35.75</v>
      </c>
      <c r="G28" s="26">
        <v>5800</v>
      </c>
    </row>
    <row r="29" spans="2:9" x14ac:dyDescent="0.3">
      <c r="C29" s="12"/>
      <c r="D29" s="13"/>
      <c r="E29" s="12"/>
      <c r="F29" s="13"/>
      <c r="G29" s="12"/>
    </row>
    <row r="30" spans="2:9" x14ac:dyDescent="0.3">
      <c r="B30" s="11">
        <v>0.6866782407407408</v>
      </c>
      <c r="C30" s="9" t="s">
        <v>213</v>
      </c>
      <c r="D30" s="9"/>
      <c r="E30" s="9"/>
      <c r="F30" s="13"/>
      <c r="G30" s="12"/>
    </row>
    <row r="31" spans="2:9" ht="15" thickBot="1" x14ac:dyDescent="0.35">
      <c r="C31" s="12"/>
      <c r="D31" s="13"/>
      <c r="E31" s="12"/>
      <c r="F31" s="13"/>
      <c r="G31" s="12"/>
    </row>
    <row r="32" spans="2:9" ht="15" thickBot="1" x14ac:dyDescent="0.35">
      <c r="C32" s="228" t="s">
        <v>214</v>
      </c>
      <c r="D32" s="229"/>
      <c r="E32" s="229"/>
      <c r="F32" s="229"/>
      <c r="G32" s="230"/>
    </row>
    <row r="33" spans="1:26" ht="15" thickBot="1" x14ac:dyDescent="0.35">
      <c r="C33" s="228" t="s">
        <v>0</v>
      </c>
      <c r="D33" s="231"/>
      <c r="E33" s="1"/>
      <c r="F33" s="228" t="s">
        <v>1</v>
      </c>
      <c r="G33" s="230"/>
    </row>
    <row r="34" spans="1:26" ht="15" thickBot="1" x14ac:dyDescent="0.35">
      <c r="C34" s="2" t="s">
        <v>2</v>
      </c>
      <c r="D34" s="3" t="s">
        <v>3</v>
      </c>
      <c r="E34" s="4"/>
      <c r="F34" s="2" t="s">
        <v>3</v>
      </c>
      <c r="G34" s="3" t="s">
        <v>2</v>
      </c>
      <c r="I34" s="14" t="s">
        <v>4</v>
      </c>
    </row>
    <row r="35" spans="1:26" x14ac:dyDescent="0.3">
      <c r="C35" s="27">
        <v>1600</v>
      </c>
      <c r="D35" s="176">
        <v>35.549999999999997</v>
      </c>
      <c r="E35" s="5"/>
      <c r="F35" s="177">
        <v>35.65</v>
      </c>
      <c r="G35" s="29">
        <v>1800</v>
      </c>
      <c r="I35" t="s">
        <v>215</v>
      </c>
    </row>
    <row r="36" spans="1:26" x14ac:dyDescent="0.3">
      <c r="C36" s="25">
        <v>3400</v>
      </c>
      <c r="D36" s="22">
        <v>35.5</v>
      </c>
      <c r="E36" s="6"/>
      <c r="F36" s="22">
        <v>35.700000000000003</v>
      </c>
      <c r="G36" s="25">
        <v>1400</v>
      </c>
      <c r="I36" t="s">
        <v>216</v>
      </c>
      <c r="M36" s="15"/>
      <c r="N36" s="16" t="s">
        <v>217</v>
      </c>
      <c r="O36" s="17"/>
      <c r="P36" s="18"/>
      <c r="Q36" s="16" t="s">
        <v>218</v>
      </c>
      <c r="R36" s="17"/>
      <c r="S36" s="18"/>
      <c r="T36" s="16" t="s">
        <v>219</v>
      </c>
      <c r="U36" s="17"/>
      <c r="V36" s="18"/>
      <c r="W36" s="16" t="s">
        <v>220</v>
      </c>
      <c r="X36" s="17"/>
      <c r="Y36" s="18"/>
      <c r="Z36" s="16" t="s">
        <v>221</v>
      </c>
    </row>
    <row r="37" spans="1:26" ht="15" thickBot="1" x14ac:dyDescent="0.35">
      <c r="C37" s="26"/>
      <c r="D37" s="23"/>
      <c r="E37" s="6"/>
      <c r="F37" s="23">
        <v>35.75</v>
      </c>
      <c r="G37" s="26">
        <v>5800</v>
      </c>
      <c r="M37" s="15"/>
      <c r="N37" s="16" t="s">
        <v>217</v>
      </c>
      <c r="O37" s="17"/>
      <c r="P37" s="18"/>
      <c r="Q37" s="16" t="s">
        <v>218</v>
      </c>
      <c r="R37" s="17"/>
      <c r="S37" s="18"/>
      <c r="T37" s="16" t="s">
        <v>219</v>
      </c>
      <c r="U37" s="17"/>
      <c r="V37" s="18"/>
      <c r="W37" s="16" t="s">
        <v>220</v>
      </c>
      <c r="X37" s="17"/>
      <c r="Y37" s="19" t="s">
        <v>5</v>
      </c>
      <c r="Z37" s="16" t="s">
        <v>221</v>
      </c>
    </row>
    <row r="38" spans="1:26" x14ac:dyDescent="0.3">
      <c r="C38" s="12"/>
      <c r="D38" s="13"/>
      <c r="E38" s="12"/>
      <c r="F38" s="13"/>
      <c r="G38" s="12"/>
    </row>
    <row r="39" spans="1:26" x14ac:dyDescent="0.3">
      <c r="A39" s="7" t="s">
        <v>8</v>
      </c>
      <c r="B39" s="8" t="s">
        <v>222</v>
      </c>
      <c r="C39" s="9"/>
      <c r="D39" s="9"/>
      <c r="E39" s="9"/>
      <c r="F39" s="9"/>
      <c r="G39" s="9"/>
    </row>
    <row r="40" spans="1:26" x14ac:dyDescent="0.3">
      <c r="B40" s="20">
        <v>0.68497685185185186</v>
      </c>
      <c r="C40" t="s">
        <v>223</v>
      </c>
    </row>
    <row r="41" spans="1:26" x14ac:dyDescent="0.3">
      <c r="B41" s="20">
        <v>0.6850925925925927</v>
      </c>
      <c r="C41" t="s">
        <v>224</v>
      </c>
    </row>
    <row r="42" spans="1:26" x14ac:dyDescent="0.3">
      <c r="B42" s="20">
        <v>0.68512731481481481</v>
      </c>
      <c r="C42" t="s">
        <v>225</v>
      </c>
    </row>
    <row r="43" spans="1:26" ht="15" thickBot="1" x14ac:dyDescent="0.35"/>
    <row r="44" spans="1:26" ht="15" thickBot="1" x14ac:dyDescent="0.35">
      <c r="C44" s="228" t="s">
        <v>206</v>
      </c>
      <c r="D44" s="229"/>
      <c r="E44" s="229"/>
      <c r="F44" s="229"/>
      <c r="G44" s="230"/>
    </row>
    <row r="45" spans="1:26" ht="15" thickBot="1" x14ac:dyDescent="0.35">
      <c r="C45" s="228" t="s">
        <v>0</v>
      </c>
      <c r="D45" s="231"/>
      <c r="E45" s="1"/>
      <c r="F45" s="228" t="s">
        <v>1</v>
      </c>
      <c r="G45" s="230"/>
    </row>
    <row r="46" spans="1:26" ht="15" thickBot="1" x14ac:dyDescent="0.35">
      <c r="C46" s="2" t="s">
        <v>2</v>
      </c>
      <c r="D46" s="3" t="s">
        <v>3</v>
      </c>
      <c r="E46" s="4"/>
      <c r="F46" s="178" t="s">
        <v>3</v>
      </c>
      <c r="G46" s="179" t="s">
        <v>2</v>
      </c>
    </row>
    <row r="47" spans="1:26" x14ac:dyDescent="0.3">
      <c r="C47" s="24">
        <v>2600</v>
      </c>
      <c r="D47" s="21">
        <v>35.6</v>
      </c>
      <c r="E47" s="5"/>
      <c r="F47" s="21">
        <v>35.700000000000003</v>
      </c>
      <c r="G47" s="24">
        <v>1400</v>
      </c>
      <c r="I47" t="s">
        <v>226</v>
      </c>
    </row>
    <row r="48" spans="1:26" x14ac:dyDescent="0.3">
      <c r="C48" s="25">
        <v>1800</v>
      </c>
      <c r="D48" s="22">
        <v>35.549999999999997</v>
      </c>
      <c r="E48" s="6"/>
      <c r="F48" s="22">
        <v>35.75</v>
      </c>
      <c r="G48" s="25">
        <v>5800</v>
      </c>
    </row>
    <row r="49" spans="2:9" ht="15" thickBot="1" x14ac:dyDescent="0.35">
      <c r="C49" s="26">
        <v>3400</v>
      </c>
      <c r="D49" s="23">
        <v>35.5</v>
      </c>
      <c r="E49" s="6"/>
      <c r="F49" s="23">
        <v>35.799999999999997</v>
      </c>
      <c r="G49" s="26">
        <v>3500</v>
      </c>
    </row>
    <row r="51" spans="2:9" x14ac:dyDescent="0.3">
      <c r="B51" s="20">
        <v>0.68512731481481481</v>
      </c>
      <c r="C51" t="s">
        <v>225</v>
      </c>
    </row>
    <row r="52" spans="2:9" ht="15" thickBot="1" x14ac:dyDescent="0.35"/>
    <row r="53" spans="2:9" ht="15" thickBot="1" x14ac:dyDescent="0.35">
      <c r="C53" s="228" t="s">
        <v>227</v>
      </c>
      <c r="D53" s="229"/>
      <c r="E53" s="229"/>
      <c r="F53" s="229"/>
      <c r="G53" s="230"/>
    </row>
    <row r="54" spans="2:9" ht="15" thickBot="1" x14ac:dyDescent="0.35">
      <c r="C54" s="228" t="s">
        <v>0</v>
      </c>
      <c r="D54" s="231"/>
      <c r="E54" s="1"/>
      <c r="F54" s="228" t="s">
        <v>1</v>
      </c>
      <c r="G54" s="230"/>
    </row>
    <row r="55" spans="2:9" ht="15" thickBot="1" x14ac:dyDescent="0.35">
      <c r="C55" s="2" t="s">
        <v>2</v>
      </c>
      <c r="D55" s="3" t="s">
        <v>3</v>
      </c>
      <c r="E55" s="4"/>
      <c r="F55" s="2" t="s">
        <v>3</v>
      </c>
      <c r="G55" s="3" t="s">
        <v>2</v>
      </c>
    </row>
    <row r="56" spans="2:9" ht="15" thickBot="1" x14ac:dyDescent="0.35">
      <c r="C56" s="27">
        <v>2600</v>
      </c>
      <c r="D56" s="21">
        <v>35.6</v>
      </c>
      <c r="E56" s="5"/>
      <c r="F56" s="21">
        <v>35.65</v>
      </c>
      <c r="G56" s="180">
        <v>800</v>
      </c>
    </row>
    <row r="57" spans="2:9" x14ac:dyDescent="0.3">
      <c r="C57" s="25">
        <v>1800</v>
      </c>
      <c r="D57" s="22">
        <v>35.549999999999997</v>
      </c>
      <c r="E57" s="6"/>
      <c r="F57" s="21">
        <v>35.700000000000003</v>
      </c>
      <c r="G57" s="24">
        <v>1400</v>
      </c>
      <c r="I57" t="s">
        <v>228</v>
      </c>
    </row>
    <row r="58" spans="2:9" ht="15" thickBot="1" x14ac:dyDescent="0.35">
      <c r="C58" s="26">
        <v>3400</v>
      </c>
      <c r="D58" s="23">
        <v>35.5</v>
      </c>
      <c r="E58" s="30"/>
      <c r="F58" s="23">
        <v>35.75</v>
      </c>
      <c r="G58" s="26">
        <v>5800</v>
      </c>
    </row>
    <row r="60" spans="2:9" x14ac:dyDescent="0.3">
      <c r="B60" s="20">
        <v>0.6850925925925927</v>
      </c>
      <c r="C60" t="s">
        <v>224</v>
      </c>
      <c r="I60" s="20"/>
    </row>
    <row r="61" spans="2:9" ht="15" thickBot="1" x14ac:dyDescent="0.35"/>
    <row r="62" spans="2:9" ht="15" thickBot="1" x14ac:dyDescent="0.35">
      <c r="C62" s="228" t="s">
        <v>229</v>
      </c>
      <c r="D62" s="229"/>
      <c r="E62" s="229"/>
      <c r="F62" s="229"/>
      <c r="G62" s="230"/>
    </row>
    <row r="63" spans="2:9" ht="15" thickBot="1" x14ac:dyDescent="0.35">
      <c r="C63" s="228" t="s">
        <v>0</v>
      </c>
      <c r="D63" s="231"/>
      <c r="E63" s="1"/>
      <c r="F63" s="228" t="s">
        <v>1</v>
      </c>
      <c r="G63" s="230"/>
    </row>
    <row r="64" spans="2:9" ht="15" thickBot="1" x14ac:dyDescent="0.35">
      <c r="C64" s="2" t="s">
        <v>2</v>
      </c>
      <c r="D64" s="3" t="s">
        <v>3</v>
      </c>
      <c r="E64" s="4"/>
      <c r="F64" s="2" t="s">
        <v>3</v>
      </c>
      <c r="G64" s="3" t="s">
        <v>2</v>
      </c>
    </row>
    <row r="65" spans="1:26" ht="15" thickBot="1" x14ac:dyDescent="0.35">
      <c r="C65" s="27">
        <v>3200</v>
      </c>
      <c r="D65" s="21">
        <v>35.6</v>
      </c>
      <c r="E65" s="5"/>
      <c r="F65" s="21">
        <v>35.65</v>
      </c>
      <c r="G65" s="181">
        <v>800</v>
      </c>
      <c r="I65" s="182" t="s">
        <v>230</v>
      </c>
    </row>
    <row r="66" spans="1:26" x14ac:dyDescent="0.3">
      <c r="C66" s="25">
        <v>1800</v>
      </c>
      <c r="D66" s="22">
        <v>35.549999999999997</v>
      </c>
      <c r="E66" s="6"/>
      <c r="F66" s="21">
        <v>35.700000000000003</v>
      </c>
      <c r="G66" s="24">
        <v>1400</v>
      </c>
    </row>
    <row r="67" spans="1:26" ht="15" thickBot="1" x14ac:dyDescent="0.35">
      <c r="C67" s="26">
        <v>3400</v>
      </c>
      <c r="D67" s="23">
        <v>35.5</v>
      </c>
      <c r="E67" s="30"/>
      <c r="F67" s="23">
        <v>35.75</v>
      </c>
      <c r="G67" s="26">
        <v>5800</v>
      </c>
    </row>
    <row r="69" spans="1:26" x14ac:dyDescent="0.3">
      <c r="B69" s="20">
        <v>0.68497685185185186</v>
      </c>
      <c r="C69" t="s">
        <v>223</v>
      </c>
      <c r="I69" s="20"/>
    </row>
    <row r="70" spans="1:26" ht="15" thickBot="1" x14ac:dyDescent="0.35"/>
    <row r="71" spans="1:26" ht="15" thickBot="1" x14ac:dyDescent="0.35">
      <c r="C71" s="228" t="s">
        <v>231</v>
      </c>
      <c r="D71" s="229"/>
      <c r="E71" s="229"/>
      <c r="F71" s="229"/>
      <c r="G71" s="230"/>
    </row>
    <row r="72" spans="1:26" ht="15" thickBot="1" x14ac:dyDescent="0.35">
      <c r="C72" s="228" t="s">
        <v>0</v>
      </c>
      <c r="D72" s="231"/>
      <c r="E72" s="1"/>
      <c r="F72" s="228" t="s">
        <v>1</v>
      </c>
      <c r="G72" s="230"/>
    </row>
    <row r="73" spans="1:26" ht="15" thickBot="1" x14ac:dyDescent="0.35">
      <c r="C73" s="2" t="s">
        <v>2</v>
      </c>
      <c r="D73" s="3" t="s">
        <v>3</v>
      </c>
      <c r="E73" s="4"/>
      <c r="F73" s="2" t="s">
        <v>3</v>
      </c>
      <c r="G73" s="3" t="s">
        <v>2</v>
      </c>
      <c r="I73" s="182" t="s">
        <v>232</v>
      </c>
      <c r="M73" s="15"/>
      <c r="N73" s="16" t="s">
        <v>217</v>
      </c>
      <c r="O73" s="17"/>
      <c r="P73" s="18"/>
      <c r="Q73" s="16" t="s">
        <v>218</v>
      </c>
      <c r="R73" s="17"/>
      <c r="S73" s="18"/>
      <c r="T73" s="16" t="s">
        <v>219</v>
      </c>
      <c r="U73" s="17"/>
      <c r="V73" s="18"/>
      <c r="W73" s="16" t="s">
        <v>220</v>
      </c>
      <c r="X73" s="17"/>
      <c r="Y73" s="18"/>
      <c r="Z73" s="16" t="s">
        <v>221</v>
      </c>
    </row>
    <row r="74" spans="1:26" ht="15" thickBot="1" x14ac:dyDescent="0.35">
      <c r="C74" s="24">
        <v>3200</v>
      </c>
      <c r="D74" s="21">
        <v>35.6</v>
      </c>
      <c r="E74" s="5"/>
      <c r="F74" s="21">
        <v>35.65</v>
      </c>
      <c r="G74" s="181">
        <v>1700</v>
      </c>
      <c r="M74" s="19" t="s">
        <v>5</v>
      </c>
      <c r="N74" s="16" t="s">
        <v>217</v>
      </c>
      <c r="O74" s="17"/>
      <c r="P74" s="18"/>
      <c r="Q74" s="16" t="s">
        <v>218</v>
      </c>
      <c r="R74" s="17"/>
      <c r="S74" s="18"/>
      <c r="T74" s="16" t="s">
        <v>219</v>
      </c>
      <c r="U74" s="17"/>
      <c r="V74" s="18"/>
      <c r="W74" s="16" t="s">
        <v>220</v>
      </c>
      <c r="X74" s="17"/>
      <c r="Y74" s="18"/>
      <c r="Z74" s="16" t="s">
        <v>221</v>
      </c>
    </row>
    <row r="75" spans="1:26" x14ac:dyDescent="0.3">
      <c r="C75" s="25">
        <v>1800</v>
      </c>
      <c r="D75" s="22">
        <v>35.549999999999997</v>
      </c>
      <c r="E75" s="6"/>
      <c r="F75" s="21">
        <v>35.700000000000003</v>
      </c>
      <c r="G75" s="24">
        <v>1400</v>
      </c>
    </row>
    <row r="76" spans="1:26" ht="15" thickBot="1" x14ac:dyDescent="0.35">
      <c r="C76" s="26">
        <v>3400</v>
      </c>
      <c r="D76" s="23">
        <v>35.5</v>
      </c>
      <c r="E76" s="30"/>
      <c r="F76" s="23">
        <v>35.75</v>
      </c>
      <c r="G76" s="26">
        <v>5800</v>
      </c>
    </row>
    <row r="78" spans="1:26" x14ac:dyDescent="0.3">
      <c r="A78" s="8" t="s">
        <v>233</v>
      </c>
      <c r="B78" s="31"/>
      <c r="C78" s="9"/>
      <c r="D78" s="32"/>
      <c r="E78" s="32"/>
      <c r="F78" s="32"/>
      <c r="G78" s="32"/>
      <c r="H78" s="9"/>
      <c r="I78" s="9"/>
      <c r="J78" s="9"/>
    </row>
    <row r="79" spans="1:26" x14ac:dyDescent="0.3">
      <c r="B79" s="7" t="s">
        <v>234</v>
      </c>
      <c r="C79" s="33"/>
      <c r="D79" s="9"/>
      <c r="E79" s="9"/>
      <c r="F79" s="9"/>
      <c r="G79" s="9"/>
      <c r="H79" s="9"/>
      <c r="I79" s="9"/>
      <c r="J79" s="9"/>
    </row>
    <row r="80" spans="1:26" x14ac:dyDescent="0.3">
      <c r="C80" s="34"/>
    </row>
    <row r="81" spans="1:26" x14ac:dyDescent="0.3">
      <c r="B81" t="s">
        <v>9</v>
      </c>
      <c r="C81" s="35">
        <v>3.3000000000000002E-2</v>
      </c>
      <c r="F81" t="s">
        <v>10</v>
      </c>
      <c r="G81" s="36">
        <v>14</v>
      </c>
      <c r="M81" s="15"/>
      <c r="N81" s="16" t="s">
        <v>235</v>
      </c>
      <c r="O81" s="17"/>
      <c r="P81" s="18"/>
      <c r="Q81" s="16" t="s">
        <v>236</v>
      </c>
      <c r="R81" s="17"/>
      <c r="S81" s="18"/>
      <c r="T81" s="16" t="s">
        <v>237</v>
      </c>
      <c r="U81" s="17"/>
      <c r="V81" s="18"/>
      <c r="W81" s="16" t="s">
        <v>238</v>
      </c>
      <c r="X81" s="17"/>
      <c r="Y81" s="18"/>
      <c r="Z81" s="16" t="s">
        <v>239</v>
      </c>
    </row>
    <row r="82" spans="1:26" x14ac:dyDescent="0.3">
      <c r="B82" t="s">
        <v>11</v>
      </c>
      <c r="C82" s="35">
        <v>3.5999999999999997E-2</v>
      </c>
      <c r="F82" t="s">
        <v>12</v>
      </c>
      <c r="G82" s="37">
        <f>C81/(1-(1+C81)^-G81)</f>
        <v>9.0346469098997767E-2</v>
      </c>
      <c r="M82" s="15"/>
      <c r="N82" s="16" t="s">
        <v>235</v>
      </c>
      <c r="O82" s="17"/>
      <c r="P82" s="18"/>
      <c r="Q82" s="16" t="s">
        <v>236</v>
      </c>
      <c r="R82" s="17"/>
      <c r="S82" s="19" t="s">
        <v>5</v>
      </c>
      <c r="T82" s="16" t="s">
        <v>237</v>
      </c>
      <c r="U82" s="17"/>
      <c r="V82" s="18"/>
      <c r="W82" s="16" t="s">
        <v>238</v>
      </c>
      <c r="X82" s="17"/>
      <c r="Y82" s="18"/>
      <c r="Z82" s="16" t="s">
        <v>239</v>
      </c>
    </row>
    <row r="83" spans="1:26" x14ac:dyDescent="0.3">
      <c r="B83" t="s">
        <v>13</v>
      </c>
      <c r="C83" s="37">
        <f>(C81/C82)*((1-(1+C82)^-G81)/(1-(1+C81)^-G81))</f>
        <v>0.98004445378615723</v>
      </c>
      <c r="F83" s="35"/>
    </row>
    <row r="84" spans="1:26" x14ac:dyDescent="0.3">
      <c r="D84" t="s">
        <v>14</v>
      </c>
      <c r="F84" t="s">
        <v>240</v>
      </c>
      <c r="G84" t="s">
        <v>241</v>
      </c>
      <c r="H84" s="37">
        <f>(C81/C82)*((1-(1+C82)^-11)/(1-(1+C81)^-11))</f>
        <v>0.98371561060930757</v>
      </c>
    </row>
    <row r="85" spans="1:26" x14ac:dyDescent="0.3">
      <c r="F85" t="s">
        <v>242</v>
      </c>
      <c r="G85" t="s">
        <v>243</v>
      </c>
      <c r="H85" s="37">
        <f>(C81/C82)*((1-(1+C82)^-16)/(1-(1+C81)^-16))</f>
        <v>0.97768305120115861</v>
      </c>
    </row>
    <row r="86" spans="1:26" x14ac:dyDescent="0.3">
      <c r="F86" t="s">
        <v>15</v>
      </c>
      <c r="H86" s="38">
        <f>11+(16-11)*(H84-C83)/(H84-H85)</f>
        <v>14.042785470285823</v>
      </c>
      <c r="I86" s="39">
        <f>ROUND(H86,0)</f>
        <v>14</v>
      </c>
    </row>
    <row r="88" spans="1:26" x14ac:dyDescent="0.3">
      <c r="A88" s="40" t="s">
        <v>244</v>
      </c>
      <c r="B88" s="31"/>
      <c r="C88" s="9"/>
      <c r="D88" s="32"/>
      <c r="E88" s="32"/>
      <c r="F88" s="32"/>
      <c r="G88" s="32"/>
      <c r="H88" s="41"/>
      <c r="I88" s="42"/>
      <c r="J88" s="9"/>
      <c r="K88" s="9"/>
    </row>
    <row r="89" spans="1:26" ht="15" thickBot="1" x14ac:dyDescent="0.35">
      <c r="B89" s="7" t="s">
        <v>245</v>
      </c>
      <c r="C89" s="33"/>
      <c r="D89" s="9"/>
      <c r="E89" s="9"/>
      <c r="F89" s="9"/>
      <c r="G89" s="9"/>
      <c r="H89" s="183"/>
      <c r="I89" s="184"/>
    </row>
    <row r="90" spans="1:26" ht="15" thickBot="1" x14ac:dyDescent="0.35">
      <c r="C90" s="35" t="s">
        <v>246</v>
      </c>
      <c r="D90" s="185">
        <f>7*8</f>
        <v>56</v>
      </c>
      <c r="M90" s="15"/>
      <c r="N90" s="43" t="s">
        <v>247</v>
      </c>
      <c r="P90" s="15"/>
      <c r="Q90" s="43" t="s">
        <v>248</v>
      </c>
      <c r="R90" s="12"/>
      <c r="S90" s="15"/>
      <c r="T90" s="43" t="s">
        <v>249</v>
      </c>
      <c r="V90" s="15"/>
      <c r="W90" s="43" t="s">
        <v>250</v>
      </c>
      <c r="Y90" s="15"/>
      <c r="Z90" s="43" t="s">
        <v>251</v>
      </c>
    </row>
    <row r="91" spans="1:26" x14ac:dyDescent="0.3">
      <c r="A91" t="s">
        <v>252</v>
      </c>
      <c r="F91" t="s">
        <v>253</v>
      </c>
      <c r="G91" s="37">
        <f>1/(1.055)^7</f>
        <v>0.68743680855412004</v>
      </c>
      <c r="M91" s="15"/>
      <c r="N91" s="43" t="s">
        <v>247</v>
      </c>
      <c r="P91" s="15"/>
      <c r="Q91" s="43" t="s">
        <v>248</v>
      </c>
      <c r="R91" s="12"/>
      <c r="S91" s="15"/>
      <c r="T91" s="43" t="s">
        <v>249</v>
      </c>
      <c r="V91" s="19" t="s">
        <v>5</v>
      </c>
      <c r="W91" s="43" t="s">
        <v>250</v>
      </c>
      <c r="Y91" s="15"/>
      <c r="Z91" s="43" t="s">
        <v>251</v>
      </c>
    </row>
    <row r="92" spans="1:26" x14ac:dyDescent="0.3">
      <c r="C92" s="186">
        <f>-7/(1.055)*(-0.4%) + 56/2*(-0.4%/1.055)^2</f>
        <v>2.6942791042429415E-2</v>
      </c>
      <c r="F92" t="s">
        <v>254</v>
      </c>
      <c r="G92" s="37">
        <f>(1/1.051)^7</f>
        <v>0.70596145219938777</v>
      </c>
    </row>
    <row r="93" spans="1:26" x14ac:dyDescent="0.3">
      <c r="C93" s="37"/>
      <c r="F93" t="s">
        <v>255</v>
      </c>
      <c r="G93" s="186">
        <f>(G92-G91)/G91</f>
        <v>2.694741307820054E-2</v>
      </c>
    </row>
    <row r="95" spans="1:26" x14ac:dyDescent="0.3">
      <c r="A95" s="40" t="s">
        <v>256</v>
      </c>
      <c r="B95" s="9"/>
      <c r="C95" s="9"/>
      <c r="D95" s="9"/>
      <c r="E95" s="9"/>
      <c r="F95" s="9"/>
      <c r="G95" s="9"/>
      <c r="H95" s="9"/>
      <c r="I95" s="9"/>
      <c r="J95" s="9"/>
    </row>
    <row r="96" spans="1:26" x14ac:dyDescent="0.3">
      <c r="B96" s="7" t="s">
        <v>257</v>
      </c>
      <c r="C96" s="9"/>
      <c r="D96" s="9"/>
      <c r="E96" s="9"/>
      <c r="F96" s="9"/>
      <c r="G96" s="9"/>
      <c r="H96" s="9"/>
      <c r="I96" s="9"/>
      <c r="J96" s="9"/>
    </row>
    <row r="98" spans="1:26" x14ac:dyDescent="0.3">
      <c r="B98" t="s">
        <v>258</v>
      </c>
      <c r="C98" s="44">
        <f>1/G98</f>
        <v>1.1337868480725624</v>
      </c>
      <c r="F98" t="s">
        <v>16</v>
      </c>
      <c r="G98" s="44">
        <v>0.88200000000000001</v>
      </c>
    </row>
    <row r="99" spans="1:26" x14ac:dyDescent="0.3">
      <c r="B99" t="s">
        <v>259</v>
      </c>
      <c r="C99" s="44">
        <v>1.1539999999999999</v>
      </c>
      <c r="F99" t="s">
        <v>260</v>
      </c>
      <c r="G99" s="44">
        <f>1/C99</f>
        <v>0.86655112651646449</v>
      </c>
      <c r="M99" s="15"/>
      <c r="N99" s="45">
        <v>0.56000000000000005</v>
      </c>
      <c r="O99" s="46"/>
      <c r="P99" s="47"/>
      <c r="Q99" s="45">
        <v>1.67</v>
      </c>
      <c r="R99" s="48"/>
      <c r="S99" s="47"/>
      <c r="T99" s="45">
        <v>1.72</v>
      </c>
      <c r="U99" s="46"/>
      <c r="V99" s="47"/>
      <c r="W99" s="45">
        <v>1.77</v>
      </c>
      <c r="X99" s="46"/>
      <c r="Y99" s="47"/>
      <c r="Z99" s="45">
        <v>1.62</v>
      </c>
    </row>
    <row r="100" spans="1:26" x14ac:dyDescent="0.3">
      <c r="B100" t="s">
        <v>261</v>
      </c>
      <c r="C100" s="44">
        <f>1/G100</f>
        <v>1.0741138560687433</v>
      </c>
      <c r="F100" t="s">
        <v>17</v>
      </c>
      <c r="G100" s="44">
        <v>0.93100000000000005</v>
      </c>
      <c r="M100" s="19" t="s">
        <v>5</v>
      </c>
      <c r="N100" s="45">
        <v>0.56000000000000005</v>
      </c>
      <c r="O100" s="46"/>
      <c r="P100" s="47"/>
      <c r="Q100" s="45">
        <v>1.67</v>
      </c>
      <c r="R100" s="12"/>
      <c r="S100" s="47"/>
      <c r="T100" s="45">
        <v>1.72</v>
      </c>
      <c r="V100" s="47"/>
      <c r="W100" s="45">
        <v>1.77</v>
      </c>
      <c r="X100" s="46"/>
      <c r="Y100" s="47"/>
      <c r="Z100" s="45">
        <v>1.62</v>
      </c>
    </row>
    <row r="101" spans="1:26" x14ac:dyDescent="0.3">
      <c r="B101" t="s">
        <v>262</v>
      </c>
      <c r="C101" s="44">
        <v>1.262</v>
      </c>
      <c r="F101" t="s">
        <v>263</v>
      </c>
      <c r="G101" s="44">
        <f>1/C101</f>
        <v>0.79239302694136293</v>
      </c>
    </row>
    <row r="102" spans="1:26" x14ac:dyDescent="0.3">
      <c r="E102" s="49" t="s">
        <v>264</v>
      </c>
      <c r="I102" s="133"/>
    </row>
    <row r="103" spans="1:26" x14ac:dyDescent="0.3">
      <c r="B103" s="50" t="s">
        <v>265</v>
      </c>
      <c r="C103" s="187">
        <f>G101*G100*G99*G98</f>
        <v>0.56383639075275971</v>
      </c>
      <c r="E103" s="49" t="s">
        <v>266</v>
      </c>
    </row>
    <row r="106" spans="1:26" x14ac:dyDescent="0.3">
      <c r="A106" s="40" t="s">
        <v>267</v>
      </c>
      <c r="B106" s="31"/>
      <c r="C106" s="9"/>
      <c r="D106" s="32"/>
      <c r="E106" s="32"/>
      <c r="F106" s="32"/>
      <c r="G106" s="9"/>
      <c r="H106" s="9"/>
      <c r="I106" s="9"/>
      <c r="J106" s="9"/>
    </row>
    <row r="108" spans="1:26" x14ac:dyDescent="0.3">
      <c r="B108" t="s">
        <v>268</v>
      </c>
      <c r="C108">
        <v>14.38</v>
      </c>
      <c r="D108">
        <v>3</v>
      </c>
      <c r="E108" t="s">
        <v>18</v>
      </c>
      <c r="F108" s="51">
        <f>C108*3000/C111</f>
        <v>1387.1382636655949</v>
      </c>
    </row>
    <row r="109" spans="1:26" x14ac:dyDescent="0.3">
      <c r="B109" t="s">
        <v>269</v>
      </c>
      <c r="C109">
        <v>57.28</v>
      </c>
      <c r="D109" s="54">
        <v>300000</v>
      </c>
      <c r="E109" t="s">
        <v>270</v>
      </c>
      <c r="F109" s="51">
        <f>C109*D109/C112</f>
        <v>108075.47169811321</v>
      </c>
    </row>
    <row r="110" spans="1:26" x14ac:dyDescent="0.3">
      <c r="B110" t="s">
        <v>19</v>
      </c>
      <c r="C110">
        <v>1.2350000000000001</v>
      </c>
    </row>
    <row r="111" spans="1:26" x14ac:dyDescent="0.3">
      <c r="B111" t="s">
        <v>271</v>
      </c>
      <c r="C111" s="34">
        <v>31.1</v>
      </c>
      <c r="D111" t="s">
        <v>20</v>
      </c>
      <c r="M111" s="15"/>
      <c r="N111" s="16">
        <v>60000</v>
      </c>
      <c r="P111" s="15"/>
      <c r="Q111" s="16">
        <v>150000</v>
      </c>
      <c r="R111" s="12"/>
      <c r="S111" s="15"/>
      <c r="T111" s="16">
        <v>200000</v>
      </c>
      <c r="V111" s="15"/>
      <c r="W111" s="16">
        <v>250000</v>
      </c>
      <c r="Y111" s="15"/>
      <c r="Z111" s="16">
        <v>700000</v>
      </c>
    </row>
    <row r="112" spans="1:26" x14ac:dyDescent="0.3">
      <c r="B112" t="s">
        <v>272</v>
      </c>
      <c r="C112">
        <v>159</v>
      </c>
      <c r="D112" t="s">
        <v>273</v>
      </c>
      <c r="M112" s="15"/>
      <c r="N112" s="16">
        <v>60000</v>
      </c>
      <c r="P112" s="19" t="s">
        <v>5</v>
      </c>
      <c r="Q112" s="16">
        <v>150000</v>
      </c>
      <c r="R112" s="12"/>
      <c r="S112" s="15"/>
      <c r="T112" s="16">
        <v>200000</v>
      </c>
      <c r="V112" s="15"/>
      <c r="W112" s="16">
        <v>250000</v>
      </c>
      <c r="Y112" s="15"/>
      <c r="Z112" s="16">
        <v>700000</v>
      </c>
    </row>
    <row r="113" spans="1:26" x14ac:dyDescent="0.3">
      <c r="B113" t="s">
        <v>274</v>
      </c>
      <c r="C113" s="62">
        <v>6223</v>
      </c>
      <c r="D113" s="52">
        <v>12</v>
      </c>
      <c r="E113" t="s">
        <v>21</v>
      </c>
      <c r="F113">
        <f>C113*D113</f>
        <v>74676</v>
      </c>
    </row>
    <row r="115" spans="1:26" ht="15" thickBot="1" x14ac:dyDescent="0.35">
      <c r="F115" s="51">
        <f>F108+F109+F113</f>
        <v>184138.6099617788</v>
      </c>
      <c r="G115" t="s">
        <v>22</v>
      </c>
    </row>
    <row r="116" spans="1:26" ht="15" thickBot="1" x14ac:dyDescent="0.35">
      <c r="F116" s="53">
        <f>F115/C110</f>
        <v>149100.08903787757</v>
      </c>
      <c r="G116" t="s">
        <v>23</v>
      </c>
    </row>
    <row r="119" spans="1:26" x14ac:dyDescent="0.3">
      <c r="A119" s="188" t="s">
        <v>275</v>
      </c>
      <c r="B119" s="31"/>
      <c r="C119" s="9"/>
      <c r="D119" s="9"/>
      <c r="E119" s="9"/>
      <c r="F119" s="9"/>
      <c r="G119" s="9"/>
      <c r="H119" s="9"/>
      <c r="I119" s="9"/>
      <c r="J119" s="9"/>
    </row>
    <row r="120" spans="1:26" x14ac:dyDescent="0.3">
      <c r="B120" s="40" t="s">
        <v>276</v>
      </c>
      <c r="C120" s="9"/>
      <c r="D120" s="9"/>
      <c r="E120" s="9"/>
      <c r="F120" s="9"/>
      <c r="G120" s="9"/>
      <c r="H120" s="9"/>
      <c r="I120" s="9"/>
      <c r="J120" s="9"/>
    </row>
    <row r="122" spans="1:26" x14ac:dyDescent="0.3">
      <c r="F122" t="s">
        <v>24</v>
      </c>
      <c r="G122" t="s">
        <v>25</v>
      </c>
      <c r="H122" t="s">
        <v>26</v>
      </c>
    </row>
    <row r="123" spans="1:26" x14ac:dyDescent="0.3">
      <c r="E123">
        <v>0</v>
      </c>
      <c r="H123" s="35">
        <f>-C129</f>
        <v>-1.0344</v>
      </c>
    </row>
    <row r="124" spans="1:26" x14ac:dyDescent="0.3">
      <c r="B124" t="s">
        <v>9</v>
      </c>
      <c r="C124" s="35">
        <v>0.03</v>
      </c>
      <c r="E124">
        <v>1</v>
      </c>
      <c r="F124" s="35">
        <f>C124</f>
        <v>0.03</v>
      </c>
      <c r="G124" s="35"/>
      <c r="H124" s="35">
        <f t="shared" ref="H124:H129" si="0">F124+G124</f>
        <v>0.03</v>
      </c>
      <c r="I124" s="37"/>
      <c r="J124" s="55">
        <f>H124/(1+$H$131)^E124</f>
        <v>2.9386237198162083E-2</v>
      </c>
      <c r="M124" s="15"/>
      <c r="N124" s="189">
        <v>0.02</v>
      </c>
      <c r="P124" s="15"/>
      <c r="Q124" s="189">
        <v>2.5999999999999999E-2</v>
      </c>
      <c r="R124" s="12"/>
      <c r="S124" s="15"/>
      <c r="T124" s="189">
        <v>3.4000000000000002E-2</v>
      </c>
      <c r="V124" s="15"/>
      <c r="W124" s="189">
        <v>3.7999999999999999E-2</v>
      </c>
      <c r="Y124" s="15"/>
      <c r="Z124" s="189">
        <v>0.04</v>
      </c>
    </row>
    <row r="125" spans="1:26" x14ac:dyDescent="0.3">
      <c r="B125" t="s">
        <v>11</v>
      </c>
      <c r="C125" s="35"/>
      <c r="E125">
        <v>2</v>
      </c>
      <c r="F125" s="35">
        <f>F124</f>
        <v>0.03</v>
      </c>
      <c r="G125" s="35">
        <f>1/3</f>
        <v>0.33333333333333331</v>
      </c>
      <c r="H125" s="35">
        <f t="shared" si="0"/>
        <v>0.36333333333333329</v>
      </c>
      <c r="I125" s="37"/>
      <c r="J125" s="55">
        <f t="shared" ref="J125:J129" si="1">H125/(1+$H$131)^E125</f>
        <v>0.34861871146912704</v>
      </c>
      <c r="M125" s="19" t="s">
        <v>5</v>
      </c>
      <c r="N125" s="189">
        <v>0.02</v>
      </c>
      <c r="P125" s="15"/>
      <c r="Q125" s="189">
        <v>2.5999999999999999E-2</v>
      </c>
      <c r="R125" s="12"/>
      <c r="S125" s="15"/>
      <c r="T125" s="189">
        <v>3.4000000000000002E-2</v>
      </c>
      <c r="V125" s="15"/>
      <c r="W125" s="189">
        <v>3.7999999999999999E-2</v>
      </c>
      <c r="Y125" s="15"/>
      <c r="Z125" s="189">
        <v>0.04</v>
      </c>
    </row>
    <row r="126" spans="1:26" x14ac:dyDescent="0.3">
      <c r="B126" t="s">
        <v>10</v>
      </c>
      <c r="C126">
        <v>6</v>
      </c>
      <c r="E126">
        <v>3</v>
      </c>
      <c r="F126" s="35">
        <f>C124*(1-G125)</f>
        <v>0.02</v>
      </c>
      <c r="H126" s="35">
        <f t="shared" si="0"/>
        <v>0.02</v>
      </c>
      <c r="I126" s="37"/>
      <c r="J126" s="55">
        <f t="shared" si="1"/>
        <v>1.8797416783393393E-2</v>
      </c>
    </row>
    <row r="127" spans="1:26" x14ac:dyDescent="0.3">
      <c r="B127" t="s">
        <v>277</v>
      </c>
      <c r="C127" s="37"/>
      <c r="E127">
        <v>4</v>
      </c>
      <c r="F127" s="35">
        <f>C124*(1-G125)</f>
        <v>0.02</v>
      </c>
      <c r="G127" s="35">
        <f>G129</f>
        <v>0.33333333333333331</v>
      </c>
      <c r="H127" s="35">
        <f t="shared" si="0"/>
        <v>0.35333333333333333</v>
      </c>
      <c r="I127" s="37"/>
      <c r="J127" s="55">
        <f t="shared" si="1"/>
        <v>0.32529359400448993</v>
      </c>
    </row>
    <row r="128" spans="1:26" x14ac:dyDescent="0.3">
      <c r="E128">
        <v>5</v>
      </c>
      <c r="F128" s="35">
        <f>C124/3</f>
        <v>0.01</v>
      </c>
      <c r="G128" s="35"/>
      <c r="H128" s="35">
        <f t="shared" si="0"/>
        <v>0.01</v>
      </c>
      <c r="I128" s="37"/>
      <c r="J128" s="55">
        <f t="shared" si="1"/>
        <v>9.0180704834514885E-3</v>
      </c>
    </row>
    <row r="129" spans="1:35" x14ac:dyDescent="0.3">
      <c r="B129" t="s">
        <v>13</v>
      </c>
      <c r="C129" s="37">
        <v>1.0344</v>
      </c>
      <c r="E129">
        <v>6</v>
      </c>
      <c r="F129" s="35">
        <f>F128</f>
        <v>0.01</v>
      </c>
      <c r="G129" s="35">
        <f>G125</f>
        <v>0.33333333333333331</v>
      </c>
      <c r="H129" s="35">
        <f t="shared" si="0"/>
        <v>0.34333333333333332</v>
      </c>
      <c r="I129" s="37"/>
      <c r="J129" s="55">
        <f t="shared" si="1"/>
        <v>0.30328597005038127</v>
      </c>
    </row>
    <row r="130" spans="1:35" ht="15" thickBot="1" x14ac:dyDescent="0.35">
      <c r="F130" s="35"/>
      <c r="G130" s="35"/>
      <c r="H130" s="35"/>
      <c r="I130" s="37"/>
      <c r="J130" s="55"/>
    </row>
    <row r="131" spans="1:35" ht="15" thickBot="1" x14ac:dyDescent="0.35">
      <c r="G131" t="s">
        <v>29</v>
      </c>
      <c r="H131" s="56">
        <f>IRR(H123:H130)</f>
        <v>2.088606301307272E-2</v>
      </c>
      <c r="I131" s="37"/>
      <c r="J131" s="37">
        <f>SUM(J124:J130)</f>
        <v>1.0343999999890052</v>
      </c>
      <c r="AE131" s="57">
        <v>156</v>
      </c>
      <c r="AF131" s="58">
        <v>500</v>
      </c>
      <c r="AG131" s="59">
        <v>400</v>
      </c>
      <c r="AH131" s="60">
        <v>12100</v>
      </c>
      <c r="AI131" s="61"/>
    </row>
    <row r="132" spans="1:35" x14ac:dyDescent="0.3">
      <c r="B132" t="s">
        <v>30</v>
      </c>
      <c r="AE132" s="57">
        <v>155</v>
      </c>
      <c r="AF132" s="58">
        <v>300</v>
      </c>
      <c r="AG132" s="59">
        <v>250</v>
      </c>
      <c r="AH132" s="59"/>
      <c r="AI132" s="61"/>
    </row>
    <row r="134" spans="1:35" x14ac:dyDescent="0.3">
      <c r="A134" s="188" t="s">
        <v>278</v>
      </c>
      <c r="B134" s="31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35" x14ac:dyDescent="0.3">
      <c r="B135" s="40" t="s">
        <v>279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7" spans="1:35" x14ac:dyDescent="0.3">
      <c r="F137" t="s">
        <v>138</v>
      </c>
    </row>
    <row r="138" spans="1:35" x14ac:dyDescent="0.3">
      <c r="B138" t="s">
        <v>280</v>
      </c>
      <c r="C138" s="190">
        <v>2.4</v>
      </c>
      <c r="D138" s="190">
        <v>2.6</v>
      </c>
      <c r="M138" s="15"/>
      <c r="N138" s="191" t="s">
        <v>281</v>
      </c>
      <c r="P138" s="15"/>
      <c r="Q138" s="191" t="s">
        <v>282</v>
      </c>
      <c r="R138" s="12"/>
      <c r="S138" s="15"/>
      <c r="T138" s="191" t="s">
        <v>283</v>
      </c>
      <c r="V138" s="15"/>
      <c r="W138" s="191" t="s">
        <v>284</v>
      </c>
      <c r="Y138" s="15"/>
      <c r="Z138" s="191" t="s">
        <v>285</v>
      </c>
    </row>
    <row r="139" spans="1:35" x14ac:dyDescent="0.3">
      <c r="B139" t="s">
        <v>286</v>
      </c>
      <c r="C139" s="35">
        <v>2.8000000000000001E-2</v>
      </c>
      <c r="D139" s="35">
        <v>0.03</v>
      </c>
      <c r="M139" s="15"/>
      <c r="N139" s="191" t="s">
        <v>281</v>
      </c>
      <c r="P139" s="15"/>
      <c r="Q139" s="191" t="s">
        <v>282</v>
      </c>
      <c r="R139" s="12"/>
      <c r="S139" s="15"/>
      <c r="T139" s="191" t="s">
        <v>283</v>
      </c>
      <c r="V139" s="15"/>
      <c r="W139" s="191" t="s">
        <v>284</v>
      </c>
      <c r="Y139" s="19" t="s">
        <v>5</v>
      </c>
      <c r="Z139" s="191" t="s">
        <v>285</v>
      </c>
    </row>
    <row r="140" spans="1:35" x14ac:dyDescent="0.3">
      <c r="B140" t="s">
        <v>287</v>
      </c>
      <c r="C140" s="35">
        <v>3.4000000000000002E-2</v>
      </c>
      <c r="D140" s="35">
        <v>3.5999999999999997E-2</v>
      </c>
      <c r="H140" t="s">
        <v>138</v>
      </c>
    </row>
    <row r="141" spans="1:35" ht="15" thickBot="1" x14ac:dyDescent="0.35"/>
    <row r="142" spans="1:35" ht="15" thickBot="1" x14ac:dyDescent="0.35">
      <c r="B142" t="s">
        <v>288</v>
      </c>
      <c r="C142" s="192">
        <f>C138*(1+D139/4)/(1+C140/4)</f>
        <v>2.3976202280614776</v>
      </c>
      <c r="D142" s="193">
        <f>D138*(1+C139/4)/(1+D140/4)</f>
        <v>2.5948463825569874</v>
      </c>
    </row>
    <row r="145" spans="1:36" x14ac:dyDescent="0.3">
      <c r="A145" s="194" t="s">
        <v>289</v>
      </c>
      <c r="B145" s="9"/>
      <c r="C145" s="33"/>
      <c r="D145" s="9"/>
      <c r="E145" s="9"/>
      <c r="F145" s="9"/>
      <c r="G145" s="9"/>
      <c r="H145" s="9"/>
      <c r="I145" s="9"/>
      <c r="J145" s="9"/>
      <c r="K145" s="9"/>
    </row>
    <row r="146" spans="1:36" ht="15" thickBot="1" x14ac:dyDescent="0.35">
      <c r="C146" s="34"/>
    </row>
    <row r="147" spans="1:36" x14ac:dyDescent="0.3">
      <c r="B147" s="195" t="s">
        <v>3</v>
      </c>
      <c r="C147" s="196" t="s">
        <v>27</v>
      </c>
      <c r="D147" s="196" t="s">
        <v>28</v>
      </c>
      <c r="E147" s="196"/>
      <c r="F147" s="197" t="s">
        <v>290</v>
      </c>
      <c r="G147" s="197" t="s">
        <v>291</v>
      </c>
      <c r="H147" s="198" t="s">
        <v>292</v>
      </c>
      <c r="M147" s="15"/>
      <c r="N147" s="16" t="s">
        <v>293</v>
      </c>
      <c r="O147" s="17"/>
      <c r="P147" s="18"/>
      <c r="Q147" s="16" t="s">
        <v>294</v>
      </c>
      <c r="R147" s="17"/>
      <c r="S147" s="18"/>
      <c r="T147" s="16" t="s">
        <v>295</v>
      </c>
      <c r="U147" s="17"/>
      <c r="V147" s="18"/>
      <c r="W147" s="16" t="s">
        <v>296</v>
      </c>
      <c r="X147" s="17"/>
      <c r="Y147" s="18"/>
      <c r="Z147" s="16" t="s">
        <v>297</v>
      </c>
      <c r="AE147" s="199" t="s">
        <v>3</v>
      </c>
      <c r="AF147" s="200" t="s">
        <v>27</v>
      </c>
      <c r="AG147" s="200" t="s">
        <v>28</v>
      </c>
      <c r="AH147" s="200"/>
      <c r="AI147" s="201" t="s">
        <v>290</v>
      </c>
      <c r="AJ147" s="202" t="s">
        <v>291</v>
      </c>
    </row>
    <row r="148" spans="1:36" x14ac:dyDescent="0.3">
      <c r="B148" s="203">
        <v>31.2</v>
      </c>
      <c r="C148" s="204">
        <v>520</v>
      </c>
      <c r="D148" s="12">
        <v>300</v>
      </c>
      <c r="E148" s="12"/>
      <c r="F148" s="205">
        <v>6200</v>
      </c>
      <c r="G148" s="205">
        <f>G149+D148</f>
        <v>6410</v>
      </c>
      <c r="H148" s="206">
        <f>ABS(F148-G148)</f>
        <v>210</v>
      </c>
      <c r="M148" s="15"/>
      <c r="N148" s="16" t="s">
        <v>293</v>
      </c>
      <c r="O148" s="17"/>
      <c r="P148" s="18"/>
      <c r="Q148" s="16" t="s">
        <v>294</v>
      </c>
      <c r="R148" s="17"/>
      <c r="S148" s="19" t="s">
        <v>5</v>
      </c>
      <c r="T148" s="16" t="s">
        <v>295</v>
      </c>
      <c r="U148" s="17"/>
      <c r="V148" s="18"/>
      <c r="W148" s="16" t="s">
        <v>296</v>
      </c>
      <c r="X148" s="17"/>
      <c r="Y148" s="18"/>
      <c r="Z148" s="16" t="s">
        <v>297</v>
      </c>
      <c r="AE148" s="207">
        <v>31.2</v>
      </c>
      <c r="AF148" s="6">
        <v>520</v>
      </c>
      <c r="AG148" s="114">
        <v>300</v>
      </c>
      <c r="AH148" s="12"/>
      <c r="AI148" s="69">
        <v>6200</v>
      </c>
      <c r="AJ148" s="73">
        <v>6410</v>
      </c>
    </row>
    <row r="149" spans="1:36" x14ac:dyDescent="0.3">
      <c r="B149" s="208">
        <v>31.1</v>
      </c>
      <c r="C149" s="204">
        <v>280</v>
      </c>
      <c r="D149" s="12">
        <v>210</v>
      </c>
      <c r="E149" s="12"/>
      <c r="F149" s="209">
        <f>F148+D149</f>
        <v>6410</v>
      </c>
      <c r="G149" s="205">
        <f>G150+D149</f>
        <v>6110</v>
      </c>
      <c r="H149" s="206">
        <f t="shared" ref="H149:H150" si="2">ABS(F149-G149)</f>
        <v>300</v>
      </c>
      <c r="AE149" s="210">
        <v>31.1</v>
      </c>
      <c r="AF149" s="6">
        <v>280</v>
      </c>
      <c r="AG149" s="114">
        <v>210</v>
      </c>
      <c r="AH149" s="12"/>
      <c r="AI149" s="211"/>
      <c r="AJ149" s="73"/>
    </row>
    <row r="150" spans="1:36" ht="15" thickBot="1" x14ac:dyDescent="0.35">
      <c r="B150" s="212">
        <v>31</v>
      </c>
      <c r="C150" s="213">
        <v>270</v>
      </c>
      <c r="D150" s="214">
        <v>370</v>
      </c>
      <c r="E150" s="214"/>
      <c r="F150" s="215">
        <f>F149+C150</f>
        <v>6680</v>
      </c>
      <c r="G150" s="215">
        <v>5900</v>
      </c>
      <c r="H150" s="170">
        <f t="shared" si="2"/>
        <v>780</v>
      </c>
      <c r="AE150" s="216">
        <v>31</v>
      </c>
      <c r="AF150" s="30">
        <v>270</v>
      </c>
      <c r="AG150" s="149">
        <v>370</v>
      </c>
      <c r="AH150" s="214"/>
      <c r="AI150" s="217"/>
      <c r="AJ150" s="75"/>
    </row>
    <row r="151" spans="1:36" x14ac:dyDescent="0.3">
      <c r="C151" s="34"/>
    </row>
    <row r="152" spans="1:36" x14ac:dyDescent="0.3">
      <c r="B152" t="s">
        <v>298</v>
      </c>
      <c r="C152" s="34">
        <f>B148</f>
        <v>31.2</v>
      </c>
      <c r="F152" t="s">
        <v>299</v>
      </c>
      <c r="H152" s="62">
        <f>F148</f>
        <v>6200</v>
      </c>
      <c r="I152" t="s">
        <v>300</v>
      </c>
    </row>
    <row r="153" spans="1:36" x14ac:dyDescent="0.3">
      <c r="C153" s="34"/>
      <c r="I153" t="s">
        <v>301</v>
      </c>
    </row>
    <row r="154" spans="1:36" x14ac:dyDescent="0.3">
      <c r="C154" s="34"/>
    </row>
    <row r="155" spans="1:36" x14ac:dyDescent="0.3">
      <c r="B155" t="s">
        <v>302</v>
      </c>
      <c r="C155" s="218">
        <v>280</v>
      </c>
      <c r="D155" s="219">
        <v>31.1</v>
      </c>
      <c r="E155" s="134"/>
      <c r="F155" s="219">
        <v>31.2</v>
      </c>
      <c r="G155" s="134">
        <v>210</v>
      </c>
    </row>
    <row r="158" spans="1:36" x14ac:dyDescent="0.3">
      <c r="A158" s="40" t="s">
        <v>303</v>
      </c>
      <c r="B158" s="31"/>
      <c r="C158" s="9"/>
      <c r="D158" s="32"/>
      <c r="E158" s="32"/>
      <c r="F158" s="32"/>
      <c r="G158" s="9"/>
      <c r="H158" s="9"/>
      <c r="I158" s="9"/>
      <c r="J158" s="9"/>
    </row>
    <row r="159" spans="1:36" x14ac:dyDescent="0.3">
      <c r="A159" s="40"/>
      <c r="B159" s="31"/>
      <c r="C159" s="9"/>
      <c r="D159" s="32"/>
      <c r="E159" s="32"/>
      <c r="F159" s="32"/>
      <c r="G159" s="9"/>
      <c r="H159" s="9"/>
      <c r="I159" s="9"/>
      <c r="J159" s="9"/>
    </row>
    <row r="160" spans="1:36" x14ac:dyDescent="0.3">
      <c r="C160" s="63"/>
      <c r="D160" s="63"/>
    </row>
    <row r="161" spans="3:26" x14ac:dyDescent="0.3">
      <c r="C161" t="s">
        <v>304</v>
      </c>
      <c r="F161" s="37"/>
    </row>
    <row r="162" spans="3:26" x14ac:dyDescent="0.3">
      <c r="F162" s="37"/>
    </row>
    <row r="163" spans="3:26" ht="15" thickBot="1" x14ac:dyDescent="0.35">
      <c r="C163" t="s">
        <v>305</v>
      </c>
      <c r="D163" s="62">
        <v>5055</v>
      </c>
      <c r="F163" s="37"/>
      <c r="M163" s="15"/>
      <c r="N163" s="16">
        <v>4800</v>
      </c>
      <c r="P163" s="15"/>
      <c r="Q163" s="16">
        <v>4900</v>
      </c>
      <c r="R163" s="220"/>
      <c r="S163" s="221"/>
      <c r="T163" s="16">
        <v>5000</v>
      </c>
      <c r="V163" s="15"/>
      <c r="W163" s="16">
        <v>5100</v>
      </c>
      <c r="Y163" s="15"/>
      <c r="Z163" s="16">
        <v>5200</v>
      </c>
    </row>
    <row r="164" spans="3:26" ht="15" thickBot="1" x14ac:dyDescent="0.35">
      <c r="C164" t="s">
        <v>306</v>
      </c>
      <c r="D164" s="35">
        <v>-2.5999999999999999E-3</v>
      </c>
      <c r="F164" s="37"/>
      <c r="G164" s="37" t="s">
        <v>307</v>
      </c>
      <c r="H164" s="222">
        <f>D163*EXP((D164-D165)*D166)</f>
        <v>4993.2043225036423</v>
      </c>
      <c r="M164" s="15"/>
      <c r="N164" s="16">
        <v>4800</v>
      </c>
      <c r="P164" s="15"/>
      <c r="Q164" s="16">
        <v>4900</v>
      </c>
      <c r="R164" s="220"/>
      <c r="S164" s="19" t="s">
        <v>5</v>
      </c>
      <c r="T164" s="16">
        <v>5000</v>
      </c>
      <c r="V164" s="15"/>
      <c r="W164" s="16">
        <v>5100</v>
      </c>
      <c r="Y164" s="15"/>
      <c r="Z164" s="16">
        <v>5200</v>
      </c>
    </row>
    <row r="165" spans="3:26" x14ac:dyDescent="0.3">
      <c r="C165" t="s">
        <v>308</v>
      </c>
      <c r="D165" s="35">
        <v>2.1999999999999999E-2</v>
      </c>
      <c r="F165" s="37"/>
    </row>
    <row r="166" spans="3:26" x14ac:dyDescent="0.3">
      <c r="C166" t="s">
        <v>309</v>
      </c>
      <c r="D166">
        <v>0.5</v>
      </c>
      <c r="F166" s="37"/>
    </row>
  </sheetData>
  <mergeCells count="24">
    <mergeCell ref="C4:G4"/>
    <mergeCell ref="C5:D5"/>
    <mergeCell ref="F5:G5"/>
    <mergeCell ref="C14:G14"/>
    <mergeCell ref="C15:D15"/>
    <mergeCell ref="F15:G15"/>
    <mergeCell ref="C23:G23"/>
    <mergeCell ref="C24:D24"/>
    <mergeCell ref="F24:G24"/>
    <mergeCell ref="C32:G32"/>
    <mergeCell ref="C33:D33"/>
    <mergeCell ref="F33:G33"/>
    <mergeCell ref="C44:G44"/>
    <mergeCell ref="C45:D45"/>
    <mergeCell ref="F45:G45"/>
    <mergeCell ref="C53:G53"/>
    <mergeCell ref="C54:D54"/>
    <mergeCell ref="F54:G54"/>
    <mergeCell ref="C62:G62"/>
    <mergeCell ref="C63:D63"/>
    <mergeCell ref="F63:G63"/>
    <mergeCell ref="C71:G71"/>
    <mergeCell ref="C72:D72"/>
    <mergeCell ref="F72:G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3" workbookViewId="0">
      <selection activeCell="S20" sqref="S20"/>
    </sheetView>
  </sheetViews>
  <sheetFormatPr baseColWidth="10" defaultRowHeight="14.4" x14ac:dyDescent="0.3"/>
  <cols>
    <col min="1" max="1" width="28" customWidth="1"/>
    <col min="2" max="2" width="7.5546875" customWidth="1"/>
    <col min="3" max="3" width="3.5546875" customWidth="1"/>
    <col min="4" max="15" width="6.33203125" customWidth="1"/>
  </cols>
  <sheetData>
    <row r="1" spans="1:15" ht="15" thickBot="1" x14ac:dyDescent="0.35">
      <c r="A1" s="238" t="s">
        <v>47</v>
      </c>
      <c r="B1" s="239"/>
      <c r="C1" s="239"/>
      <c r="D1" s="239"/>
      <c r="E1" s="239"/>
      <c r="F1" s="239"/>
      <c r="G1" s="239"/>
      <c r="H1" s="240"/>
    </row>
    <row r="2" spans="1:15" ht="7.5" customHeight="1" thickBot="1" x14ac:dyDescent="0.3"/>
    <row r="3" spans="1:15" ht="15" x14ac:dyDescent="0.25">
      <c r="D3" s="244" t="s">
        <v>195</v>
      </c>
      <c r="E3" s="245"/>
      <c r="F3" s="246"/>
      <c r="G3" s="244" t="s">
        <v>203</v>
      </c>
      <c r="H3" s="245"/>
      <c r="I3" s="246"/>
      <c r="J3" s="244" t="s">
        <v>196</v>
      </c>
      <c r="K3" s="245"/>
      <c r="L3" s="246"/>
      <c r="M3" s="165" t="s">
        <v>197</v>
      </c>
    </row>
    <row r="4" spans="1:15" ht="15.75" thickBot="1" x14ac:dyDescent="0.3">
      <c r="A4" s="134" t="s">
        <v>202</v>
      </c>
      <c r="B4" s="63" t="s">
        <v>177</v>
      </c>
      <c r="D4" s="147" t="s">
        <v>178</v>
      </c>
      <c r="E4" s="146" t="s">
        <v>179</v>
      </c>
      <c r="F4" s="148" t="s">
        <v>180</v>
      </c>
      <c r="G4" s="147" t="s">
        <v>181</v>
      </c>
      <c r="H4" s="146" t="s">
        <v>182</v>
      </c>
      <c r="I4" s="148" t="s">
        <v>183</v>
      </c>
      <c r="J4" s="147" t="s">
        <v>184</v>
      </c>
      <c r="K4" s="146" t="s">
        <v>185</v>
      </c>
      <c r="L4" s="148" t="s">
        <v>186</v>
      </c>
      <c r="M4" s="151" t="s">
        <v>187</v>
      </c>
    </row>
    <row r="5" spans="1:15" ht="15" x14ac:dyDescent="0.25">
      <c r="A5" s="167" t="s">
        <v>158</v>
      </c>
      <c r="B5" s="158">
        <f>SUM(D5:M5)</f>
        <v>12</v>
      </c>
      <c r="D5" s="129">
        <v>2</v>
      </c>
      <c r="E5" s="114">
        <v>2</v>
      </c>
      <c r="F5" s="104">
        <v>2</v>
      </c>
      <c r="G5" s="129">
        <v>0</v>
      </c>
      <c r="H5" s="114">
        <v>0</v>
      </c>
      <c r="I5" s="104">
        <v>0</v>
      </c>
      <c r="J5" s="129">
        <v>2</v>
      </c>
      <c r="K5" s="114">
        <v>2</v>
      </c>
      <c r="L5" s="104">
        <v>2</v>
      </c>
      <c r="M5" s="152">
        <v>0</v>
      </c>
    </row>
    <row r="6" spans="1:15" ht="15" x14ac:dyDescent="0.25">
      <c r="A6" s="168" t="s">
        <v>159</v>
      </c>
      <c r="B6" s="159">
        <f t="shared" ref="B6:B23" si="0">SUM(D6:M6)</f>
        <v>18</v>
      </c>
      <c r="D6" s="129">
        <v>2</v>
      </c>
      <c r="E6" s="114">
        <v>2</v>
      </c>
      <c r="F6" s="104">
        <v>2</v>
      </c>
      <c r="G6" s="129">
        <v>0</v>
      </c>
      <c r="H6" s="114">
        <v>2</v>
      </c>
      <c r="I6" s="104">
        <v>2</v>
      </c>
      <c r="J6" s="129">
        <v>2</v>
      </c>
      <c r="K6" s="114">
        <v>2</v>
      </c>
      <c r="L6" s="104">
        <v>2</v>
      </c>
      <c r="M6" s="152">
        <v>2</v>
      </c>
    </row>
    <row r="7" spans="1:15" ht="15" x14ac:dyDescent="0.25">
      <c r="A7" s="168" t="s">
        <v>160</v>
      </c>
      <c r="B7" s="159">
        <f t="shared" si="0"/>
        <v>18</v>
      </c>
      <c r="D7" s="129">
        <v>2</v>
      </c>
      <c r="E7" s="114">
        <v>2</v>
      </c>
      <c r="F7" s="104">
        <v>2</v>
      </c>
      <c r="G7" s="129">
        <v>0</v>
      </c>
      <c r="H7" s="114">
        <v>2</v>
      </c>
      <c r="I7" s="104">
        <v>2</v>
      </c>
      <c r="J7" s="129">
        <v>2</v>
      </c>
      <c r="K7" s="114">
        <v>2</v>
      </c>
      <c r="L7" s="104">
        <v>2</v>
      </c>
      <c r="M7" s="152">
        <v>2</v>
      </c>
    </row>
    <row r="8" spans="1:15" ht="15" x14ac:dyDescent="0.25">
      <c r="A8" s="168" t="s">
        <v>161</v>
      </c>
      <c r="B8" s="159">
        <f t="shared" si="0"/>
        <v>12</v>
      </c>
      <c r="D8" s="129">
        <v>2</v>
      </c>
      <c r="E8" s="114">
        <v>2</v>
      </c>
      <c r="F8" s="104">
        <v>2</v>
      </c>
      <c r="G8" s="129">
        <v>2</v>
      </c>
      <c r="H8" s="114">
        <v>0</v>
      </c>
      <c r="I8" s="104">
        <v>0</v>
      </c>
      <c r="J8" s="129">
        <v>2</v>
      </c>
      <c r="K8" s="114">
        <v>0</v>
      </c>
      <c r="L8" s="104">
        <v>2</v>
      </c>
      <c r="M8" s="152">
        <v>0</v>
      </c>
    </row>
    <row r="9" spans="1:15" ht="15" x14ac:dyDescent="0.25">
      <c r="A9" s="168" t="s">
        <v>162</v>
      </c>
      <c r="B9" s="159">
        <f t="shared" si="0"/>
        <v>8</v>
      </c>
      <c r="D9" s="129">
        <v>2</v>
      </c>
      <c r="E9" s="114">
        <v>0</v>
      </c>
      <c r="F9" s="104">
        <v>0</v>
      </c>
      <c r="G9" s="129">
        <v>0</v>
      </c>
      <c r="H9" s="114">
        <v>0</v>
      </c>
      <c r="I9" s="104">
        <v>0</v>
      </c>
      <c r="J9" s="129">
        <v>2</v>
      </c>
      <c r="K9" s="114">
        <v>2</v>
      </c>
      <c r="L9" s="104">
        <v>2</v>
      </c>
      <c r="M9" s="152">
        <v>0</v>
      </c>
    </row>
    <row r="10" spans="1:15" x14ac:dyDescent="0.3">
      <c r="A10" s="168" t="s">
        <v>163</v>
      </c>
      <c r="B10" s="227">
        <f t="shared" si="0"/>
        <v>12</v>
      </c>
      <c r="D10" s="223">
        <v>2</v>
      </c>
      <c r="E10" s="224">
        <v>0</v>
      </c>
      <c r="F10" s="225">
        <v>2</v>
      </c>
      <c r="G10" s="223">
        <v>0</v>
      </c>
      <c r="H10" s="224">
        <v>2</v>
      </c>
      <c r="I10" s="225">
        <v>0</v>
      </c>
      <c r="J10" s="223">
        <v>2</v>
      </c>
      <c r="K10" s="224">
        <v>2</v>
      </c>
      <c r="L10" s="225">
        <v>0</v>
      </c>
      <c r="M10" s="226">
        <v>2</v>
      </c>
      <c r="O10" t="s">
        <v>311</v>
      </c>
    </row>
    <row r="11" spans="1:15" ht="15" x14ac:dyDescent="0.25">
      <c r="A11" s="168" t="s">
        <v>164</v>
      </c>
      <c r="B11" s="159">
        <f t="shared" si="0"/>
        <v>8</v>
      </c>
      <c r="D11" s="129">
        <v>0</v>
      </c>
      <c r="E11" s="114">
        <v>2</v>
      </c>
      <c r="F11" s="104">
        <v>0</v>
      </c>
      <c r="G11" s="129">
        <v>0</v>
      </c>
      <c r="H11" s="114">
        <v>2</v>
      </c>
      <c r="I11" s="104">
        <v>2</v>
      </c>
      <c r="J11" s="129">
        <v>2</v>
      </c>
      <c r="K11" s="114">
        <v>0</v>
      </c>
      <c r="L11" s="104">
        <v>0</v>
      </c>
      <c r="M11" s="152">
        <v>0</v>
      </c>
    </row>
    <row r="12" spans="1:15" ht="15" x14ac:dyDescent="0.25">
      <c r="A12" s="168" t="s">
        <v>165</v>
      </c>
      <c r="B12" s="159">
        <f t="shared" si="0"/>
        <v>14</v>
      </c>
      <c r="D12" s="129">
        <v>2</v>
      </c>
      <c r="E12" s="114">
        <v>2</v>
      </c>
      <c r="F12" s="104">
        <v>2</v>
      </c>
      <c r="G12" s="129">
        <v>0</v>
      </c>
      <c r="H12" s="114">
        <v>2</v>
      </c>
      <c r="I12" s="104">
        <v>0</v>
      </c>
      <c r="J12" s="129">
        <v>2</v>
      </c>
      <c r="K12" s="114">
        <v>2</v>
      </c>
      <c r="L12" s="104">
        <v>2</v>
      </c>
      <c r="M12" s="152">
        <v>0</v>
      </c>
    </row>
    <row r="13" spans="1:15" x14ac:dyDescent="0.3">
      <c r="A13" s="168" t="s">
        <v>166</v>
      </c>
      <c r="B13" s="159">
        <f t="shared" si="0"/>
        <v>14</v>
      </c>
      <c r="D13" s="129">
        <v>2</v>
      </c>
      <c r="E13" s="114">
        <v>2</v>
      </c>
      <c r="F13" s="104">
        <v>2</v>
      </c>
      <c r="G13" s="129">
        <v>0</v>
      </c>
      <c r="H13" s="114">
        <v>0</v>
      </c>
      <c r="I13" s="104">
        <v>2</v>
      </c>
      <c r="J13" s="129">
        <v>0</v>
      </c>
      <c r="K13" s="114">
        <v>2</v>
      </c>
      <c r="L13" s="104">
        <v>2</v>
      </c>
      <c r="M13" s="152">
        <v>2</v>
      </c>
    </row>
    <row r="14" spans="1:15" ht="15" x14ac:dyDescent="0.25">
      <c r="A14" s="168" t="s">
        <v>167</v>
      </c>
      <c r="B14" s="159">
        <f t="shared" si="0"/>
        <v>16</v>
      </c>
      <c r="D14" s="129">
        <v>2</v>
      </c>
      <c r="E14" s="114">
        <v>2</v>
      </c>
      <c r="F14" s="104">
        <v>2</v>
      </c>
      <c r="G14" s="129">
        <v>2</v>
      </c>
      <c r="H14" s="114">
        <v>0</v>
      </c>
      <c r="I14" s="104">
        <v>0</v>
      </c>
      <c r="J14" s="129">
        <v>2</v>
      </c>
      <c r="K14" s="114">
        <v>2</v>
      </c>
      <c r="L14" s="104">
        <v>2</v>
      </c>
      <c r="M14" s="152">
        <v>2</v>
      </c>
    </row>
    <row r="15" spans="1:15" ht="15" x14ac:dyDescent="0.25">
      <c r="A15" s="168" t="s">
        <v>168</v>
      </c>
      <c r="B15" s="159">
        <f t="shared" si="0"/>
        <v>16</v>
      </c>
      <c r="D15" s="129">
        <v>2</v>
      </c>
      <c r="E15" s="114">
        <v>2</v>
      </c>
      <c r="F15" s="104">
        <v>2</v>
      </c>
      <c r="G15" s="129">
        <v>2</v>
      </c>
      <c r="H15" s="114">
        <v>0</v>
      </c>
      <c r="I15" s="104">
        <v>0</v>
      </c>
      <c r="J15" s="129">
        <v>2</v>
      </c>
      <c r="K15" s="114">
        <v>2</v>
      </c>
      <c r="L15" s="104">
        <v>2</v>
      </c>
      <c r="M15" s="152">
        <v>2</v>
      </c>
    </row>
    <row r="16" spans="1:15" ht="15" x14ac:dyDescent="0.25">
      <c r="A16" s="168" t="s">
        <v>169</v>
      </c>
      <c r="B16" s="159">
        <f t="shared" si="0"/>
        <v>16</v>
      </c>
      <c r="D16" s="129">
        <v>2</v>
      </c>
      <c r="E16" s="114">
        <v>2</v>
      </c>
      <c r="F16" s="104">
        <v>2</v>
      </c>
      <c r="G16" s="129">
        <v>0</v>
      </c>
      <c r="H16" s="114">
        <v>0</v>
      </c>
      <c r="I16" s="104">
        <v>2</v>
      </c>
      <c r="J16" s="129">
        <v>2</v>
      </c>
      <c r="K16" s="114">
        <v>2</v>
      </c>
      <c r="L16" s="104">
        <v>2</v>
      </c>
      <c r="M16" s="152">
        <v>2</v>
      </c>
    </row>
    <row r="17" spans="1:13" ht="15" x14ac:dyDescent="0.25">
      <c r="A17" s="168" t="s">
        <v>170</v>
      </c>
      <c r="B17" s="159">
        <f t="shared" si="0"/>
        <v>10</v>
      </c>
      <c r="D17" s="129">
        <v>2</v>
      </c>
      <c r="E17" s="114">
        <v>2</v>
      </c>
      <c r="F17" s="104">
        <v>2</v>
      </c>
      <c r="G17" s="129">
        <v>0</v>
      </c>
      <c r="H17" s="114">
        <v>0</v>
      </c>
      <c r="I17" s="104">
        <v>0</v>
      </c>
      <c r="J17" s="129">
        <v>2</v>
      </c>
      <c r="K17" s="114">
        <v>0</v>
      </c>
      <c r="L17" s="104">
        <v>2</v>
      </c>
      <c r="M17" s="152">
        <v>0</v>
      </c>
    </row>
    <row r="18" spans="1:13" ht="15" x14ac:dyDescent="0.25">
      <c r="A18" s="168" t="s">
        <v>171</v>
      </c>
      <c r="B18" s="159">
        <f t="shared" si="0"/>
        <v>12</v>
      </c>
      <c r="D18" s="129">
        <v>2</v>
      </c>
      <c r="E18" s="114">
        <v>2</v>
      </c>
      <c r="F18" s="104">
        <v>2</v>
      </c>
      <c r="G18" s="129">
        <v>0</v>
      </c>
      <c r="H18" s="114">
        <v>0</v>
      </c>
      <c r="I18" s="104">
        <v>2</v>
      </c>
      <c r="J18" s="129">
        <v>0</v>
      </c>
      <c r="K18" s="114">
        <v>2</v>
      </c>
      <c r="L18" s="104">
        <v>2</v>
      </c>
      <c r="M18" s="152">
        <v>0</v>
      </c>
    </row>
    <row r="19" spans="1:13" ht="15" x14ac:dyDescent="0.25">
      <c r="A19" s="168" t="s">
        <v>172</v>
      </c>
      <c r="B19" s="159">
        <f t="shared" si="0"/>
        <v>14</v>
      </c>
      <c r="D19" s="129">
        <v>2</v>
      </c>
      <c r="E19" s="114">
        <v>2</v>
      </c>
      <c r="F19" s="104">
        <v>2</v>
      </c>
      <c r="G19" s="129">
        <v>2</v>
      </c>
      <c r="H19" s="114">
        <v>0</v>
      </c>
      <c r="I19" s="104">
        <v>0</v>
      </c>
      <c r="J19" s="129">
        <v>2</v>
      </c>
      <c r="K19" s="114">
        <v>2</v>
      </c>
      <c r="L19" s="104">
        <v>2</v>
      </c>
      <c r="M19" s="152">
        <v>0</v>
      </c>
    </row>
    <row r="20" spans="1:13" ht="15" x14ac:dyDescent="0.25">
      <c r="A20" s="168" t="s">
        <v>173</v>
      </c>
      <c r="B20" s="159">
        <f t="shared" si="0"/>
        <v>14</v>
      </c>
      <c r="D20" s="129">
        <v>2</v>
      </c>
      <c r="E20" s="114">
        <v>2</v>
      </c>
      <c r="F20" s="104">
        <v>2</v>
      </c>
      <c r="G20" s="129">
        <v>0</v>
      </c>
      <c r="H20" s="114">
        <v>0</v>
      </c>
      <c r="I20" s="104">
        <v>2</v>
      </c>
      <c r="J20" s="129">
        <v>2</v>
      </c>
      <c r="K20" s="114">
        <v>0</v>
      </c>
      <c r="L20" s="104">
        <v>2</v>
      </c>
      <c r="M20" s="152">
        <v>2</v>
      </c>
    </row>
    <row r="21" spans="1:13" x14ac:dyDescent="0.3">
      <c r="A21" s="168" t="s">
        <v>174</v>
      </c>
      <c r="B21" s="159">
        <f t="shared" si="0"/>
        <v>16</v>
      </c>
      <c r="D21" s="129">
        <v>2</v>
      </c>
      <c r="E21" s="114">
        <v>2</v>
      </c>
      <c r="F21" s="104">
        <v>2</v>
      </c>
      <c r="G21" s="129">
        <v>0</v>
      </c>
      <c r="H21" s="114">
        <v>2</v>
      </c>
      <c r="I21" s="104">
        <v>2</v>
      </c>
      <c r="J21" s="129">
        <v>2</v>
      </c>
      <c r="K21" s="114">
        <v>2</v>
      </c>
      <c r="L21" s="104">
        <v>2</v>
      </c>
      <c r="M21" s="152">
        <v>0</v>
      </c>
    </row>
    <row r="22" spans="1:13" ht="15" x14ac:dyDescent="0.25">
      <c r="A22" s="168" t="s">
        <v>175</v>
      </c>
      <c r="B22" s="159">
        <f t="shared" si="0"/>
        <v>14</v>
      </c>
      <c r="D22" s="129">
        <v>2</v>
      </c>
      <c r="E22" s="114">
        <v>2</v>
      </c>
      <c r="F22" s="104">
        <v>2</v>
      </c>
      <c r="G22" s="129">
        <v>0</v>
      </c>
      <c r="H22" s="114">
        <v>2</v>
      </c>
      <c r="I22" s="104">
        <v>0</v>
      </c>
      <c r="J22" s="129">
        <v>2</v>
      </c>
      <c r="K22" s="114">
        <v>0</v>
      </c>
      <c r="L22" s="104">
        <v>2</v>
      </c>
      <c r="M22" s="152">
        <v>2</v>
      </c>
    </row>
    <row r="23" spans="1:13" ht="15.75" thickBot="1" x14ac:dyDescent="0.3">
      <c r="A23" s="169" t="s">
        <v>176</v>
      </c>
      <c r="B23" s="160">
        <f t="shared" si="0"/>
        <v>14</v>
      </c>
      <c r="D23" s="130">
        <v>2</v>
      </c>
      <c r="E23" s="149">
        <v>2</v>
      </c>
      <c r="F23" s="150">
        <v>2</v>
      </c>
      <c r="G23" s="130">
        <v>0</v>
      </c>
      <c r="H23" s="149">
        <v>2</v>
      </c>
      <c r="I23" s="150">
        <v>2</v>
      </c>
      <c r="J23" s="130">
        <v>2</v>
      </c>
      <c r="K23" s="149">
        <v>0</v>
      </c>
      <c r="L23" s="150">
        <v>2</v>
      </c>
      <c r="M23" s="153">
        <v>0</v>
      </c>
    </row>
    <row r="24" spans="1:13" ht="9" customHeight="1" x14ac:dyDescent="0.25">
      <c r="B24" s="63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.75" thickBot="1" x14ac:dyDescent="0.3">
      <c r="A25" t="s">
        <v>194</v>
      </c>
      <c r="B25" s="63">
        <f>COUNT(B5:B23)</f>
        <v>19</v>
      </c>
    </row>
    <row r="26" spans="1:13" ht="15.75" thickBot="1" x14ac:dyDescent="0.3">
      <c r="A26" t="s">
        <v>188</v>
      </c>
      <c r="B26" s="166">
        <f>AVERAGE(B5:B23)</f>
        <v>13.578947368421053</v>
      </c>
      <c r="D26" s="154">
        <f>AVERAGE(D5:D23)</f>
        <v>1.8947368421052631</v>
      </c>
      <c r="E26" s="155">
        <f t="shared" ref="E26:M26" si="1">AVERAGE(E5:E23)</f>
        <v>1.7894736842105263</v>
      </c>
      <c r="F26" s="156">
        <f t="shared" si="1"/>
        <v>1.7894736842105263</v>
      </c>
      <c r="G26" s="154">
        <f t="shared" si="1"/>
        <v>0.42105263157894735</v>
      </c>
      <c r="H26" s="155">
        <f t="shared" si="1"/>
        <v>0.84210526315789469</v>
      </c>
      <c r="I26" s="156">
        <f t="shared" si="1"/>
        <v>0.94736842105263153</v>
      </c>
      <c r="J26" s="154">
        <f t="shared" si="1"/>
        <v>1.7894736842105263</v>
      </c>
      <c r="K26" s="155">
        <f t="shared" si="1"/>
        <v>1.368421052631579</v>
      </c>
      <c r="L26" s="156">
        <f t="shared" si="1"/>
        <v>1.7894736842105263</v>
      </c>
      <c r="M26" s="145">
        <f t="shared" si="1"/>
        <v>0.94736842105263153</v>
      </c>
    </row>
    <row r="27" spans="1:13" ht="15.75" thickBot="1" x14ac:dyDescent="0.3">
      <c r="A27" t="s">
        <v>189</v>
      </c>
      <c r="B27" s="144">
        <f>STDEV(B5:B23)</f>
        <v>2.8735535390036606</v>
      </c>
    </row>
    <row r="28" spans="1:13" ht="15.75" thickBot="1" x14ac:dyDescent="0.3">
      <c r="A28" t="s">
        <v>190</v>
      </c>
      <c r="B28" s="63">
        <f>MIN(B5:B23)</f>
        <v>8</v>
      </c>
      <c r="D28" s="232" t="s">
        <v>204</v>
      </c>
      <c r="E28" s="233"/>
      <c r="F28" s="233"/>
      <c r="G28" s="233"/>
      <c r="H28" s="233"/>
      <c r="I28" s="233"/>
      <c r="J28" s="233"/>
      <c r="K28" s="233"/>
      <c r="L28" s="233"/>
      <c r="M28" s="234"/>
    </row>
    <row r="29" spans="1:13" ht="15.75" thickBot="1" x14ac:dyDescent="0.3">
      <c r="A29" t="s">
        <v>191</v>
      </c>
      <c r="B29" s="63">
        <f>MAX(B5:B23)</f>
        <v>18</v>
      </c>
      <c r="D29" s="241" t="s">
        <v>195</v>
      </c>
      <c r="E29" s="242"/>
      <c r="F29" s="243"/>
      <c r="G29" s="241" t="s">
        <v>203</v>
      </c>
      <c r="H29" s="242"/>
      <c r="I29" s="243"/>
      <c r="J29" s="241" t="s">
        <v>196</v>
      </c>
      <c r="K29" s="242"/>
      <c r="L29" s="243"/>
      <c r="M29" s="171" t="s">
        <v>197</v>
      </c>
    </row>
    <row r="30" spans="1:13" ht="15" thickBot="1" x14ac:dyDescent="0.35">
      <c r="A30" t="s">
        <v>192</v>
      </c>
      <c r="B30" s="63">
        <f>MEDIAN(B5:B23)</f>
        <v>14</v>
      </c>
      <c r="D30" s="232" t="s">
        <v>198</v>
      </c>
      <c r="E30" s="233"/>
      <c r="F30" s="234"/>
      <c r="G30" s="235" t="s">
        <v>199</v>
      </c>
      <c r="H30" s="236"/>
      <c r="I30" s="237"/>
      <c r="J30" s="232" t="s">
        <v>200</v>
      </c>
      <c r="K30" s="233"/>
      <c r="L30" s="234"/>
      <c r="M30" s="157" t="s">
        <v>205</v>
      </c>
    </row>
    <row r="31" spans="1:13" ht="15" thickBot="1" x14ac:dyDescent="0.35">
      <c r="A31" t="s">
        <v>193</v>
      </c>
      <c r="B31" s="63">
        <f>COUNTIF(B5:B23,"&lt;10")</f>
        <v>2</v>
      </c>
      <c r="D31" s="109"/>
      <c r="E31" s="145">
        <f>AVERAGE(D26:F26)</f>
        <v>1.8245614035087721</v>
      </c>
      <c r="F31" s="170"/>
      <c r="G31" s="109"/>
      <c r="H31" s="145">
        <f>AVERAGE(G26:I26)</f>
        <v>0.73684210526315785</v>
      </c>
      <c r="I31" s="170"/>
      <c r="J31" s="109"/>
      <c r="K31" s="145">
        <f>AVERAGE(J26:L26)</f>
        <v>1.6491228070175439</v>
      </c>
      <c r="L31" s="170"/>
      <c r="M31" s="145">
        <f>M26</f>
        <v>0.94736842105263153</v>
      </c>
    </row>
    <row r="32" spans="1:13" ht="5.25" customHeight="1" x14ac:dyDescent="0.25"/>
    <row r="33" spans="2:2" x14ac:dyDescent="0.3">
      <c r="B33" t="s">
        <v>201</v>
      </c>
    </row>
  </sheetData>
  <mergeCells count="11">
    <mergeCell ref="D30:F30"/>
    <mergeCell ref="G30:I30"/>
    <mergeCell ref="J30:L30"/>
    <mergeCell ref="A1:H1"/>
    <mergeCell ref="D28:M28"/>
    <mergeCell ref="D29:F29"/>
    <mergeCell ref="G29:I29"/>
    <mergeCell ref="J29:L29"/>
    <mergeCell ref="D3:F3"/>
    <mergeCell ref="G3:I3"/>
    <mergeCell ref="J3:L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Corrigé 1</vt:lpstr>
      <vt:lpstr>Corrigé 2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AFH</dc:creator>
  <cp:lastModifiedBy>FRANCOIS-HEUDE</cp:lastModifiedBy>
  <dcterms:created xsi:type="dcterms:W3CDTF">2018-02-05T08:40:05Z</dcterms:created>
  <dcterms:modified xsi:type="dcterms:W3CDTF">2021-10-08T07:18:29Z</dcterms:modified>
</cp:coreProperties>
</file>