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23235" windowHeight="9480"/>
  </bookViews>
  <sheets>
    <sheet name="Corrigé" sheetId="1" r:id="rId1"/>
  </sheets>
  <calcPr calcId="145621" concurrentCalc="0"/>
</workbook>
</file>

<file path=xl/calcChain.xml><?xml version="1.0" encoding="utf-8"?>
<calcChain xmlns="http://schemas.openxmlformats.org/spreadsheetml/2006/main">
  <c r="I130" i="1" l="1"/>
  <c r="H130" i="1"/>
  <c r="H129" i="1"/>
  <c r="H128" i="1"/>
  <c r="D144" i="1"/>
  <c r="I139" i="1"/>
  <c r="C135" i="1"/>
  <c r="C137" i="1"/>
  <c r="C140" i="1"/>
  <c r="F163" i="1"/>
  <c r="F164" i="1"/>
  <c r="F168" i="1"/>
  <c r="F170" i="1"/>
  <c r="F171" i="1"/>
  <c r="G146" i="1"/>
  <c r="G145" i="1"/>
  <c r="G147" i="1"/>
  <c r="C146" i="1"/>
  <c r="G126" i="1"/>
  <c r="C127" i="1"/>
  <c r="F38" i="1"/>
  <c r="G38" i="1"/>
  <c r="H41" i="1"/>
  <c r="C41" i="1"/>
  <c r="H38" i="1"/>
  <c r="F39" i="1"/>
  <c r="H39" i="1"/>
  <c r="G37" i="1"/>
  <c r="H37" i="1"/>
  <c r="F18" i="1"/>
  <c r="H18" i="1"/>
  <c r="J18" i="1"/>
  <c r="F19" i="1"/>
  <c r="H19" i="1"/>
  <c r="J19" i="1"/>
  <c r="F20" i="1"/>
  <c r="G20" i="1"/>
  <c r="H20" i="1"/>
  <c r="J20" i="1"/>
  <c r="F21" i="1"/>
  <c r="H21" i="1"/>
  <c r="J21" i="1"/>
  <c r="F22" i="1"/>
  <c r="H22" i="1"/>
  <c r="J22" i="1"/>
  <c r="F23" i="1"/>
  <c r="G23" i="1"/>
  <c r="H23" i="1"/>
  <c r="J23" i="1"/>
  <c r="F24" i="1"/>
  <c r="H24" i="1"/>
  <c r="J24" i="1"/>
  <c r="F25" i="1"/>
  <c r="H25" i="1"/>
  <c r="J25" i="1"/>
  <c r="F26" i="1"/>
  <c r="G26" i="1"/>
  <c r="H26" i="1"/>
  <c r="J26" i="1"/>
  <c r="J28" i="1"/>
  <c r="H31" i="1"/>
  <c r="H17" i="1"/>
  <c r="H28" i="1"/>
  <c r="D11" i="1"/>
  <c r="C11" i="1"/>
</calcChain>
</file>

<file path=xl/sharedStrings.xml><?xml version="1.0" encoding="utf-8"?>
<sst xmlns="http://schemas.openxmlformats.org/spreadsheetml/2006/main" count="266" uniqueCount="150">
  <si>
    <t>X</t>
  </si>
  <si>
    <t>Action X       14:00:35</t>
  </si>
  <si>
    <t>ACHAT</t>
  </si>
  <si>
    <t>VENTE</t>
  </si>
  <si>
    <t>Quantité</t>
  </si>
  <si>
    <t>Cours</t>
  </si>
  <si>
    <t>Action X       13:58:34</t>
  </si>
  <si>
    <t>Action X       13:58:31</t>
  </si>
  <si>
    <t>Action X       13:58:11</t>
  </si>
  <si>
    <t>Q4</t>
  </si>
  <si>
    <t xml:space="preserve">Préciser le BID-ASK en meilleure limite à 13:58:11 </t>
  </si>
  <si>
    <t>Qté Achat</t>
  </si>
  <si>
    <t>Qté Vente</t>
  </si>
  <si>
    <t>TRI</t>
  </si>
  <si>
    <t>EUR-USD</t>
  </si>
  <si>
    <t xml:space="preserve">Q1  :  Déterminer le change spot des devises Mon-Dev à partir des informations suivantes :        </t>
  </si>
  <si>
    <t>Mon-Dev Fwd 6</t>
  </si>
  <si>
    <t>Taux Mon 6m</t>
  </si>
  <si>
    <t>Mon-Dev Fwd 6 mois  2,40 - 2,60 ,  Taux Mon à 6m   2,8% - 3,0%   et Taux Dev à 6m  3,4% - 3,6%</t>
  </si>
  <si>
    <t>Taux Dev 6m</t>
  </si>
  <si>
    <t>Mon-Dev Spot</t>
  </si>
  <si>
    <t>2,40 - 2,60</t>
  </si>
  <si>
    <t>2,50 - 2,55</t>
  </si>
  <si>
    <t>2,50 - 2,60</t>
  </si>
  <si>
    <t>2,55 - 2,60</t>
  </si>
  <si>
    <t>Q2  :  Donner le taux de rendement actuariel d'un emprunt remboursé en 3 tranches égales (3, 6 et 9)</t>
  </si>
  <si>
    <t>maturité = n = 9 ans,  taux de coupon i = 4,50%  et prix de marché Vo = 98,65%</t>
  </si>
  <si>
    <t>Vo</t>
  </si>
  <si>
    <t>3 TR 3,6 &amp; 9</t>
  </si>
  <si>
    <t>n</t>
  </si>
  <si>
    <t>r</t>
  </si>
  <si>
    <t>i</t>
  </si>
  <si>
    <t>Flux</t>
  </si>
  <si>
    <t>rbt</t>
  </si>
  <si>
    <t>int</t>
  </si>
  <si>
    <t>Interpolation</t>
  </si>
  <si>
    <t>si r=i = 4,50%  alors Vo = 100%</t>
  </si>
  <si>
    <t xml:space="preserve">Comme Vo &lt; 100% alors r &gt; i </t>
  </si>
  <si>
    <t xml:space="preserve">test i = </t>
  </si>
  <si>
    <t>Σ↓ Achats</t>
  </si>
  <si>
    <t>Σ↑ Ventes</t>
  </si>
  <si>
    <t>Ecart Absolu</t>
  </si>
  <si>
    <t>Q3 :  Déterminer le meilleur Bid-Ask après fixing à partir des informations suivantes :</t>
  </si>
  <si>
    <t>Fixing</t>
  </si>
  <si>
    <t>Qté échangée</t>
  </si>
  <si>
    <t xml:space="preserve">  tous les acheteurs &gt;= à 155 sont servis</t>
  </si>
  <si>
    <t xml:space="preserve">  il reste 200 vendeurs à 155 non servis</t>
  </si>
  <si>
    <t>154-156</t>
  </si>
  <si>
    <t>153-154</t>
  </si>
  <si>
    <t>155-156</t>
  </si>
  <si>
    <t>154-155</t>
  </si>
  <si>
    <t>155-157</t>
  </si>
  <si>
    <t>Meilleure limite</t>
  </si>
  <si>
    <t>Achat de 600 titres à 158€</t>
  </si>
  <si>
    <t>ordre éxécuté à 157</t>
  </si>
  <si>
    <t>Achat de 800 titres à 157€</t>
  </si>
  <si>
    <t>800 titres achetés à 157€</t>
  </si>
  <si>
    <t>Vente de 1600 titres à tout prix</t>
  </si>
  <si>
    <t>Action X       14:00:40</t>
  </si>
  <si>
    <t>Action X       14:00:43</t>
  </si>
  <si>
    <t>Action X       14:00:50</t>
  </si>
  <si>
    <t>ordre éxécuté avec</t>
  </si>
  <si>
    <t>300 titres à 156</t>
  </si>
  <si>
    <t>1200 titres à 155</t>
  </si>
  <si>
    <t>100 titres à 154</t>
  </si>
  <si>
    <t>Préciser le BID-ASK en meilleure limite à 14:00:50  sachant que 3 ordres ont été passés</t>
  </si>
  <si>
    <t>157 - 158</t>
  </si>
  <si>
    <t>156-155</t>
  </si>
  <si>
    <t>154-158</t>
  </si>
  <si>
    <t>Achat de 300 titres à 156€</t>
  </si>
  <si>
    <t>Vente de 600 titres à 158€</t>
  </si>
  <si>
    <t>mis en carnet</t>
  </si>
  <si>
    <t>exécuté à 157</t>
  </si>
  <si>
    <t>Q5</t>
  </si>
  <si>
    <t xml:space="preserve"> taux de coupon = 4%, taux de rendement  4,30% et Vo = 98,05%</t>
  </si>
  <si>
    <t>AC</t>
  </si>
  <si>
    <t>10 ans</t>
  </si>
  <si>
    <t>13 ans</t>
  </si>
  <si>
    <t>14 ans</t>
  </si>
  <si>
    <t>16 ans</t>
  </si>
  <si>
    <t>17 ans</t>
  </si>
  <si>
    <t>Q7 :  Donner le change spot en Mid GBP-CAD sachant</t>
  </si>
  <si>
    <t>Q8 :  Calculer la +/- value (en %) et la convexité d'un Zéro Coupon sachant    n = 8 ans, taux de rendement = 6%</t>
  </si>
  <si>
    <t xml:space="preserve">variation du taux de marché = +0,30%       solution de la forme  +/- valuen en % ; Convexité    </t>
  </si>
  <si>
    <t>Vo(6,30%)</t>
  </si>
  <si>
    <t>Vo(6%)</t>
  </si>
  <si>
    <t>dVo/Vo</t>
  </si>
  <si>
    <t>€</t>
  </si>
  <si>
    <t>$</t>
  </si>
  <si>
    <t>t</t>
  </si>
  <si>
    <t>alu T/$</t>
  </si>
  <si>
    <t>baril</t>
  </si>
  <si>
    <t>once</t>
  </si>
  <si>
    <t>l</t>
  </si>
  <si>
    <t>WTI</t>
  </si>
  <si>
    <t>kg</t>
  </si>
  <si>
    <t>OR</t>
  </si>
  <si>
    <t>Q10 :  Donner la valeur en € de 45 000 litres de pétrole qualité WTI, 2Kg d'or et 15 tonnes d'Aluminium</t>
  </si>
  <si>
    <t>-2,00% ; 25</t>
  </si>
  <si>
    <t>-2,25% ; 70</t>
  </si>
  <si>
    <t>-2,50% ; 75</t>
  </si>
  <si>
    <t>2,00% ; 120</t>
  </si>
  <si>
    <t>2,30% ; 75</t>
  </si>
  <si>
    <t>Q9 :  Donner le leader et le nombre de sociétés allemendes de distribution alimentaire parmi les 10 plusgrands en Europe</t>
  </si>
  <si>
    <t>7 &amp; 2</t>
  </si>
  <si>
    <t>7 &amp; 4</t>
  </si>
  <si>
    <t>3 &amp; 4</t>
  </si>
  <si>
    <t>3 &amp; 2</t>
  </si>
  <si>
    <t>5 &amp; 5</t>
  </si>
  <si>
    <t>Q6  :  Donner la maturité d'un emprunt remboursé par AC  ?</t>
  </si>
  <si>
    <t>1 --&gt; Aldi, 2 --&gt; Auchan, 3 --&gt; Carrefour, 4 --&gt; Lidl, 5 --&gt; Metro, 6 --&gt; Rewe, 7 --&gt; Tesco          solution de la forme [ N°1 ; Nb ]</t>
  </si>
  <si>
    <t>2,40 - 2,50</t>
  </si>
  <si>
    <t>GBP-EUR</t>
  </si>
  <si>
    <t>EUR-GBP</t>
  </si>
  <si>
    <t>EUR-CHF</t>
  </si>
  <si>
    <t>CHF-USD</t>
  </si>
  <si>
    <t>USD-CHF</t>
  </si>
  <si>
    <t>USD-CAD</t>
  </si>
  <si>
    <t>GBP-CAD</t>
  </si>
  <si>
    <t>USD-CAD 1,2520   EUR-GBP  0,8820   EUR-CHF   1,3320  et  USD-CHF   0,9320</t>
  </si>
  <si>
    <t>direct</t>
  </si>
  <si>
    <t>dV/V = -D*(d(1+r)/(1+r))+(Cvx/2)*(d(1+r)/(1+r))^2</t>
  </si>
  <si>
    <t>ALDI</t>
  </si>
  <si>
    <t>AUCHAN</t>
  </si>
  <si>
    <t>CARREFOUR</t>
  </si>
  <si>
    <t>LIDL</t>
  </si>
  <si>
    <t>METRO</t>
  </si>
  <si>
    <t>REWE</t>
  </si>
  <si>
    <t>TESCO</t>
  </si>
  <si>
    <t>Allemagne</t>
  </si>
  <si>
    <t>France</t>
  </si>
  <si>
    <t>U.K.</t>
  </si>
  <si>
    <t>Réponse [ 3 ; 4 ]</t>
  </si>
  <si>
    <t>CVX n(n+1)</t>
  </si>
  <si>
    <t>éxécuté à 157</t>
  </si>
  <si>
    <t>Test sur n</t>
  </si>
  <si>
    <t>n = 13</t>
  </si>
  <si>
    <t>Vo(n=13)=</t>
  </si>
  <si>
    <t>Interpolation  ==&gt;</t>
  </si>
  <si>
    <t>n = 16</t>
  </si>
  <si>
    <t>Vo(n=16)=</t>
  </si>
  <si>
    <t>Attention, ce ne sont pas les changes actuels !</t>
  </si>
  <si>
    <t>Réponse la plus proche 1,75 !</t>
  </si>
  <si>
    <t>Origine</t>
  </si>
  <si>
    <t>Rang Europe</t>
  </si>
  <si>
    <t>Source : https://fr.wikipedia.org/wiki/Grande_distribution</t>
  </si>
  <si>
    <t>litres</t>
  </si>
  <si>
    <t>grammes</t>
  </si>
  <si>
    <t>ELEMENTS DE CORRIGE CONTRÔLE M2 SIAD  2017-2018   du 02/10/17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</si>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</sst>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%"/>
    <numFmt numFmtId="166" formatCode="0.000%"/>
    <numFmt numFmtId="167" formatCode="0.000"/>
    <numFmt numFmtId="168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7.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 wrapText="1"/>
    </xf>
    <xf numFmtId="0" fontId="0" fillId="3" borderId="0" xfId="0" applyFill="1"/>
    <xf numFmtId="0" fontId="5" fillId="3" borderId="0" xfId="0" applyFont="1" applyFill="1"/>
    <xf numFmtId="0" fontId="0" fillId="0" borderId="4" xfId="0" applyBorder="1"/>
    <xf numFmtId="0" fontId="0" fillId="0" borderId="0" xfId="0" applyBorder="1"/>
    <xf numFmtId="0" fontId="6" fillId="4" borderId="4" xfId="0" applyFont="1" applyFill="1" applyBorder="1" applyAlignment="1">
      <alignment horizontal="center"/>
    </xf>
    <xf numFmtId="0" fontId="0" fillId="0" borderId="0" xfId="0" quotePrefix="1"/>
    <xf numFmtId="0" fontId="5" fillId="0" borderId="0" xfId="0" applyFont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0" fontId="7" fillId="0" borderId="4" xfId="0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9" fillId="0" borderId="0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3" fontId="9" fillId="0" borderId="0" xfId="0" applyNumberFormat="1" applyFont="1" applyBorder="1" applyAlignment="1">
      <alignment horizontal="center"/>
    </xf>
    <xf numFmtId="21" fontId="0" fillId="3" borderId="0" xfId="0" applyNumberFormat="1" applyFill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21" fontId="0" fillId="0" borderId="0" xfId="0" applyNumberFormat="1"/>
    <xf numFmtId="1" fontId="0" fillId="0" borderId="7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0" fillId="3" borderId="0" xfId="0" applyFill="1" applyAlignment="1">
      <alignment horizontal="right" vertical="center" wrapText="1"/>
    </xf>
    <xf numFmtId="9" fontId="0" fillId="0" borderId="0" xfId="0" applyNumberFormat="1"/>
    <xf numFmtId="165" fontId="7" fillId="0" borderId="4" xfId="0" applyNumberFormat="1" applyFon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1" fontId="0" fillId="0" borderId="0" xfId="0" applyNumberFormat="1"/>
    <xf numFmtId="0" fontId="2" fillId="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5" borderId="5" xfId="0" applyNumberFormat="1" applyFont="1" applyFill="1" applyBorder="1"/>
    <xf numFmtId="166" fontId="0" fillId="0" borderId="0" xfId="1" applyNumberFormat="1" applyFont="1"/>
    <xf numFmtId="10" fontId="2" fillId="5" borderId="5" xfId="1" applyNumberFormat="1" applyFont="1" applyFill="1" applyBorder="1"/>
    <xf numFmtId="0" fontId="10" fillId="0" borderId="0" xfId="0" applyFont="1"/>
    <xf numFmtId="3" fontId="0" fillId="0" borderId="0" xfId="0" applyNumberFormat="1"/>
    <xf numFmtId="0" fontId="0" fillId="3" borderId="7" xfId="0" applyFill="1" applyBorder="1"/>
    <xf numFmtId="2" fontId="0" fillId="0" borderId="0" xfId="0" applyNumberFormat="1" applyBorder="1"/>
    <xf numFmtId="0" fontId="9" fillId="0" borderId="0" xfId="0" applyFont="1" applyFill="1" applyBorder="1" applyAlignment="1">
      <alignment horizontal="left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/>
    <xf numFmtId="1" fontId="0" fillId="0" borderId="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0" borderId="0" xfId="0" applyNumberFormat="1" applyBorder="1"/>
    <xf numFmtId="4" fontId="7" fillId="0" borderId="4" xfId="0" applyNumberFormat="1" applyFont="1" applyBorder="1" applyAlignment="1">
      <alignment horizontal="center"/>
    </xf>
    <xf numFmtId="4" fontId="0" fillId="0" borderId="0" xfId="0" applyNumberFormat="1"/>
    <xf numFmtId="4" fontId="0" fillId="0" borderId="4" xfId="0" applyNumberFormat="1" applyBorder="1"/>
    <xf numFmtId="4" fontId="0" fillId="0" borderId="0" xfId="0" applyNumberFormat="1" applyBorder="1"/>
    <xf numFmtId="10" fontId="7" fillId="0" borderId="4" xfId="1" quotePrefix="1" applyNumberFormat="1" applyFont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12" xfId="0" applyNumberFormat="1" applyBorder="1"/>
    <xf numFmtId="0" fontId="0" fillId="0" borderId="13" xfId="0" applyBorder="1"/>
    <xf numFmtId="0" fontId="10" fillId="0" borderId="13" xfId="0" applyFont="1" applyBorder="1"/>
    <xf numFmtId="0" fontId="10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10" fontId="2" fillId="5" borderId="0" xfId="1" applyNumberFormat="1" applyFont="1" applyFill="1"/>
    <xf numFmtId="167" fontId="2" fillId="5" borderId="1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2" fillId="0" borderId="0" xfId="0" applyFont="1"/>
    <xf numFmtId="3" fontId="0" fillId="6" borderId="0" xfId="0" applyNumberFormat="1" applyFill="1"/>
    <xf numFmtId="3" fontId="2" fillId="6" borderId="0" xfId="0" applyNumberFormat="1" applyFont="1" applyFill="1"/>
    <xf numFmtId="0" fontId="0" fillId="0" borderId="7" xfId="0" applyFill="1" applyBorder="1"/>
    <xf numFmtId="1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/>
    <xf numFmtId="0" fontId="2" fillId="5" borderId="0" xfId="0" applyFont="1" applyFill="1"/>
    <xf numFmtId="2" fontId="0" fillId="0" borderId="0" xfId="1" applyNumberFormat="1" applyFont="1"/>
    <xf numFmtId="1" fontId="2" fillId="0" borderId="0" xfId="0" applyNumberFormat="1" applyFont="1" applyAlignment="1">
      <alignment horizontal="center"/>
    </xf>
    <xf numFmtId="168" fontId="2" fillId="5" borderId="0" xfId="0" applyNumberFormat="1" applyFont="1" applyFill="1"/>
    <xf numFmtId="0" fontId="11" fillId="0" borderId="0" xfId="0" applyFont="1"/>
    <xf numFmtId="0" fontId="2" fillId="5" borderId="0" xfId="0" applyFont="1" applyFill="1" applyAlignment="1">
      <alignment horizontal="center"/>
    </xf>
    <xf numFmtId="10" fontId="0" fillId="5" borderId="0" xfId="1" applyNumberFormat="1" applyFont="1" applyFill="1"/>
    <xf numFmtId="1" fontId="2" fillId="5" borderId="5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1"/>
  <sheetViews>
    <sheetView tabSelected="1" workbookViewId="0">
      <selection activeCell="I10" sqref="I10"/>
    </sheetView>
  </sheetViews>
  <sheetFormatPr baseColWidth="10" defaultRowHeight="15" x14ac:dyDescent="0.25"/>
  <cols>
    <col min="1" max="1" width="6.5703125" customWidth="1"/>
    <col min="2" max="2" width="15.5703125" customWidth="1"/>
    <col min="3" max="3" width="10" customWidth="1"/>
    <col min="5" max="5" width="4" customWidth="1"/>
    <col min="7" max="7" width="10.5703125" customWidth="1"/>
    <col min="11" max="11" width="6.140625" customWidth="1"/>
    <col min="12" max="12" width="3" customWidth="1"/>
    <col min="13" max="13" width="4.85546875" customWidth="1"/>
    <col min="15" max="16" width="4.5703125" customWidth="1"/>
    <col min="18" max="19" width="4.5703125" customWidth="1"/>
    <col min="21" max="22" width="4.5703125" customWidth="1"/>
    <col min="24" max="25" width="4.7109375" customWidth="1"/>
    <col min="28" max="28" width="9.7109375" customWidth="1"/>
    <col min="29" max="29" width="9.140625" customWidth="1"/>
    <col min="30" max="31" width="6.85546875" customWidth="1"/>
    <col min="32" max="32" width="9.5703125" customWidth="1"/>
    <col min="33" max="33" width="10.140625" customWidth="1"/>
    <col min="34" max="34" width="10.5703125" customWidth="1"/>
    <col min="35" max="35" width="11.5703125" customWidth="1"/>
    <col min="36" max="39" width="6.85546875" customWidth="1"/>
    <col min="40" max="40" width="9.140625" customWidth="1"/>
  </cols>
  <sheetData>
    <row r="1" spans="1:26" ht="15.75" thickBot="1" x14ac:dyDescent="0.3">
      <c r="A1" s="1"/>
      <c r="B1" s="2" t="s">
        <v>148</v>
      </c>
      <c r="C1" s="3"/>
      <c r="D1" s="3"/>
      <c r="E1" s="4"/>
      <c r="F1" s="4"/>
      <c r="G1" s="4"/>
    </row>
    <row r="3" spans="1:26" x14ac:dyDescent="0.25">
      <c r="A3" s="5" t="s">
        <v>15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6" x14ac:dyDescent="0.25">
      <c r="B4" s="8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</row>
    <row r="6" spans="1:26" x14ac:dyDescent="0.25">
      <c r="F6" t="s">
        <v>149</v>
      </c>
    </row>
    <row r="7" spans="1:26" x14ac:dyDescent="0.25">
      <c r="B7" t="s">
        <v>16</v>
      </c>
      <c r="C7">
        <v>2.4</v>
      </c>
      <c r="D7">
        <v>2.6</v>
      </c>
      <c r="M7" s="9"/>
      <c r="N7" s="16" t="s">
        <v>111</v>
      </c>
      <c r="P7" s="9"/>
      <c r="Q7" s="16" t="s">
        <v>21</v>
      </c>
      <c r="R7" s="10"/>
      <c r="S7" s="9"/>
      <c r="T7" s="16" t="s">
        <v>22</v>
      </c>
      <c r="V7" s="9"/>
      <c r="W7" s="16" t="s">
        <v>23</v>
      </c>
      <c r="Y7" s="9"/>
      <c r="Z7" s="16" t="s">
        <v>24</v>
      </c>
    </row>
    <row r="8" spans="1:26" x14ac:dyDescent="0.25">
      <c r="B8" t="s">
        <v>17</v>
      </c>
      <c r="C8" s="18">
        <v>2.8000000000000001E-2</v>
      </c>
      <c r="D8" s="39">
        <v>0.03</v>
      </c>
      <c r="M8" s="9"/>
      <c r="N8" s="16" t="s">
        <v>111</v>
      </c>
      <c r="P8" s="11" t="s">
        <v>0</v>
      </c>
      <c r="Q8" s="16" t="s">
        <v>21</v>
      </c>
      <c r="R8" s="10"/>
      <c r="S8" s="9"/>
      <c r="T8" s="16" t="s">
        <v>22</v>
      </c>
      <c r="V8" s="9"/>
      <c r="W8" s="16" t="s">
        <v>23</v>
      </c>
      <c r="Y8" s="9"/>
      <c r="Z8" s="16" t="s">
        <v>24</v>
      </c>
    </row>
    <row r="9" spans="1:26" x14ac:dyDescent="0.25">
      <c r="B9" t="s">
        <v>19</v>
      </c>
      <c r="C9" s="18">
        <v>3.4000000000000002E-2</v>
      </c>
      <c r="D9" s="18">
        <v>3.5999999999999997E-2</v>
      </c>
    </row>
    <row r="10" spans="1:26" ht="15.75" thickBot="1" x14ac:dyDescent="0.3"/>
    <row r="11" spans="1:26" ht="15.75" thickBot="1" x14ac:dyDescent="0.3">
      <c r="B11" t="s">
        <v>20</v>
      </c>
      <c r="C11" s="88">
        <f>C7*(1+D8/2)/(1+C9/2)</f>
        <v>2.3952802359882002</v>
      </c>
      <c r="D11" s="89">
        <f>D7*(1+C8/2)/(1+D9/2)</f>
        <v>2.5897838899803536</v>
      </c>
    </row>
    <row r="13" spans="1:26" x14ac:dyDescent="0.25">
      <c r="A13" s="5" t="s">
        <v>25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26" x14ac:dyDescent="0.25">
      <c r="B14" s="8" t="s">
        <v>26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6" spans="1:26" x14ac:dyDescent="0.25">
      <c r="F16" t="s">
        <v>34</v>
      </c>
      <c r="G16" t="s">
        <v>33</v>
      </c>
      <c r="H16" t="s">
        <v>32</v>
      </c>
    </row>
    <row r="17" spans="2:36" x14ac:dyDescent="0.25">
      <c r="E17">
        <v>0</v>
      </c>
      <c r="H17" s="18">
        <f>-C23</f>
        <v>-0.98650000000000004</v>
      </c>
    </row>
    <row r="18" spans="2:36" x14ac:dyDescent="0.25">
      <c r="B18" t="s">
        <v>31</v>
      </c>
      <c r="C18" s="18">
        <v>4.4999999999999998E-2</v>
      </c>
      <c r="E18">
        <v>1</v>
      </c>
      <c r="F18" s="18">
        <f>C18</f>
        <v>4.4999999999999998E-2</v>
      </c>
      <c r="G18" s="18"/>
      <c r="H18" s="18">
        <f t="shared" ref="H18:H26" si="0">F18+G18</f>
        <v>4.4999999999999998E-2</v>
      </c>
      <c r="I18" s="17"/>
      <c r="J18" s="50">
        <f t="shared" ref="J18:J26" si="1">H18/(1+$D$32)^E18</f>
        <v>4.2857142857142851E-2</v>
      </c>
      <c r="M18" s="9"/>
      <c r="N18" s="40">
        <v>0.04</v>
      </c>
      <c r="P18" s="9"/>
      <c r="Q18" s="40">
        <v>4.3999999999999997E-2</v>
      </c>
      <c r="R18" s="10"/>
      <c r="S18" s="9"/>
      <c r="T18" s="40">
        <v>4.8000000000000001E-2</v>
      </c>
      <c r="V18" s="9"/>
      <c r="W18" s="40">
        <v>0.05</v>
      </c>
      <c r="Y18" s="9"/>
      <c r="Z18" s="40">
        <v>5.1999999999999998E-2</v>
      </c>
    </row>
    <row r="19" spans="2:36" x14ac:dyDescent="0.25">
      <c r="B19" t="s">
        <v>30</v>
      </c>
      <c r="C19" s="18"/>
      <c r="E19">
        <v>2</v>
      </c>
      <c r="F19" s="18">
        <f>F18</f>
        <v>4.4999999999999998E-2</v>
      </c>
      <c r="G19" s="18"/>
      <c r="H19" s="18">
        <f t="shared" si="0"/>
        <v>4.4999999999999998E-2</v>
      </c>
      <c r="I19" s="17"/>
      <c r="J19" s="50">
        <f t="shared" si="1"/>
        <v>4.0816326530612242E-2</v>
      </c>
      <c r="M19" s="9"/>
      <c r="N19" s="40">
        <v>0.04</v>
      </c>
      <c r="P19" s="9"/>
      <c r="Q19" s="40">
        <v>4.3999999999999997E-2</v>
      </c>
      <c r="R19" s="10"/>
      <c r="S19" s="11" t="s">
        <v>0</v>
      </c>
      <c r="T19" s="40">
        <v>4.8000000000000001E-2</v>
      </c>
      <c r="V19" s="9"/>
      <c r="W19" s="40">
        <v>0.05</v>
      </c>
      <c r="Y19" s="9"/>
      <c r="Z19" s="40">
        <v>5.1999999999999998E-2</v>
      </c>
    </row>
    <row r="20" spans="2:36" x14ac:dyDescent="0.25">
      <c r="B20" t="s">
        <v>29</v>
      </c>
      <c r="C20">
        <v>9</v>
      </c>
      <c r="E20">
        <v>3</v>
      </c>
      <c r="F20" s="18">
        <f>F19</f>
        <v>4.4999999999999998E-2</v>
      </c>
      <c r="G20" s="18">
        <f>1/3</f>
        <v>0.33333333333333331</v>
      </c>
      <c r="H20" s="18">
        <f t="shared" si="0"/>
        <v>0.3783333333333333</v>
      </c>
      <c r="I20" s="17"/>
      <c r="J20" s="50">
        <f t="shared" si="1"/>
        <v>0.32681855811107507</v>
      </c>
    </row>
    <row r="21" spans="2:36" x14ac:dyDescent="0.25">
      <c r="B21" t="s">
        <v>28</v>
      </c>
      <c r="C21" s="17"/>
      <c r="E21">
        <v>4</v>
      </c>
      <c r="F21" s="18">
        <f>C18*(1-G20)</f>
        <v>3.0000000000000002E-2</v>
      </c>
      <c r="G21" s="18"/>
      <c r="H21" s="18">
        <f t="shared" si="0"/>
        <v>3.0000000000000002E-2</v>
      </c>
      <c r="I21" s="17"/>
      <c r="J21" s="50">
        <f t="shared" si="1"/>
        <v>2.468107424375646E-2</v>
      </c>
    </row>
    <row r="22" spans="2:36" x14ac:dyDescent="0.25">
      <c r="E22">
        <v>5</v>
      </c>
      <c r="F22" s="18">
        <f>F21</f>
        <v>3.0000000000000002E-2</v>
      </c>
      <c r="G22" s="18"/>
      <c r="H22" s="18">
        <f t="shared" si="0"/>
        <v>3.0000000000000002E-2</v>
      </c>
      <c r="I22" s="17"/>
      <c r="J22" s="50">
        <f t="shared" si="1"/>
        <v>2.3505784994053772E-2</v>
      </c>
    </row>
    <row r="23" spans="2:36" x14ac:dyDescent="0.25">
      <c r="B23" t="s">
        <v>27</v>
      </c>
      <c r="C23" s="17">
        <v>0.98650000000000004</v>
      </c>
      <c r="E23">
        <v>6</v>
      </c>
      <c r="F23" s="18">
        <f>F22</f>
        <v>3.0000000000000002E-2</v>
      </c>
      <c r="G23" s="18">
        <f>G20</f>
        <v>0.33333333333333331</v>
      </c>
      <c r="H23" s="18">
        <f t="shared" si="0"/>
        <v>0.36333333333333334</v>
      </c>
      <c r="I23" s="17"/>
      <c r="J23" s="50">
        <f t="shared" si="1"/>
        <v>0.27112492744464139</v>
      </c>
    </row>
    <row r="24" spans="2:36" x14ac:dyDescent="0.25">
      <c r="E24">
        <v>7</v>
      </c>
      <c r="F24" s="18">
        <f>C18/3</f>
        <v>1.4999999999999999E-2</v>
      </c>
      <c r="G24" s="18"/>
      <c r="H24" s="18">
        <f t="shared" si="0"/>
        <v>1.4999999999999999E-2</v>
      </c>
      <c r="I24" s="17"/>
      <c r="J24" s="50">
        <f t="shared" si="1"/>
        <v>1.0660219951951821E-2</v>
      </c>
    </row>
    <row r="25" spans="2:36" x14ac:dyDescent="0.25">
      <c r="E25">
        <v>8</v>
      </c>
      <c r="F25" s="18">
        <f>F24</f>
        <v>1.4999999999999999E-2</v>
      </c>
      <c r="G25" s="18"/>
      <c r="H25" s="18">
        <f t="shared" si="0"/>
        <v>1.4999999999999999E-2</v>
      </c>
      <c r="I25" s="17"/>
      <c r="J25" s="50">
        <f t="shared" si="1"/>
        <v>1.0152590430430307E-2</v>
      </c>
    </row>
    <row r="26" spans="2:36" ht="15.75" thickBot="1" x14ac:dyDescent="0.3">
      <c r="E26">
        <v>9</v>
      </c>
      <c r="F26" s="18">
        <f>F25</f>
        <v>1.4999999999999999E-2</v>
      </c>
      <c r="G26" s="18">
        <f>G23</f>
        <v>0.33333333333333331</v>
      </c>
      <c r="H26" s="18">
        <f t="shared" si="0"/>
        <v>0.34833333333333333</v>
      </c>
      <c r="I26" s="17"/>
      <c r="J26" s="50">
        <f t="shared" si="1"/>
        <v>0.22453877248253271</v>
      </c>
    </row>
    <row r="27" spans="2:36" ht="15.75" thickBot="1" x14ac:dyDescent="0.3">
      <c r="AE27" s="75" t="s">
        <v>5</v>
      </c>
      <c r="AF27" s="76" t="s">
        <v>11</v>
      </c>
      <c r="AG27" s="76" t="s">
        <v>12</v>
      </c>
      <c r="AH27" s="77" t="s">
        <v>39</v>
      </c>
      <c r="AI27" s="78" t="s">
        <v>40</v>
      </c>
      <c r="AJ27" s="52" t="s">
        <v>41</v>
      </c>
    </row>
    <row r="28" spans="2:36" ht="15.75" thickBot="1" x14ac:dyDescent="0.3">
      <c r="G28" t="s">
        <v>13</v>
      </c>
      <c r="H28" s="49">
        <f>IRR(H17:H26)</f>
        <v>4.7694656544631231E-2</v>
      </c>
      <c r="I28" s="17"/>
      <c r="J28" s="17">
        <f>SUM(J18:J26)</f>
        <v>0.97515539704619658</v>
      </c>
      <c r="AE28" s="79">
        <v>156</v>
      </c>
      <c r="AF28" s="73">
        <v>500</v>
      </c>
      <c r="AG28" s="72">
        <v>400</v>
      </c>
      <c r="AH28" s="74">
        <v>12100</v>
      </c>
      <c r="AI28" s="80"/>
    </row>
    <row r="29" spans="2:36" x14ac:dyDescent="0.25">
      <c r="B29" t="s">
        <v>35</v>
      </c>
      <c r="AE29" s="79">
        <v>155</v>
      </c>
      <c r="AF29" s="73">
        <v>300</v>
      </c>
      <c r="AG29" s="72">
        <v>250</v>
      </c>
      <c r="AH29" s="72"/>
      <c r="AI29" s="80"/>
    </row>
    <row r="30" spans="2:36" ht="15.75" thickBot="1" x14ac:dyDescent="0.3">
      <c r="C30" t="s">
        <v>36</v>
      </c>
      <c r="AE30" s="81">
        <v>154</v>
      </c>
      <c r="AF30" s="82">
        <v>250</v>
      </c>
      <c r="AG30" s="83">
        <v>350</v>
      </c>
      <c r="AH30" s="83"/>
      <c r="AI30" s="84">
        <v>12300</v>
      </c>
    </row>
    <row r="31" spans="2:36" ht="15.75" thickBot="1" x14ac:dyDescent="0.3">
      <c r="C31" t="s">
        <v>37</v>
      </c>
      <c r="G31" t="s">
        <v>35</v>
      </c>
      <c r="H31" s="51">
        <f>C18+(D32-C18)*(100%-C23)/(100%-J28)</f>
        <v>4.7716887853893691E-2</v>
      </c>
    </row>
    <row r="32" spans="2:36" x14ac:dyDescent="0.25">
      <c r="C32" t="s">
        <v>38</v>
      </c>
      <c r="D32" s="18">
        <v>0.05</v>
      </c>
    </row>
    <row r="34" spans="1:26" x14ac:dyDescent="0.25">
      <c r="A34" s="13" t="s">
        <v>42</v>
      </c>
      <c r="B34" s="7"/>
      <c r="C34" s="14"/>
      <c r="D34" s="7"/>
      <c r="E34" s="7"/>
      <c r="F34" s="7"/>
      <c r="G34" s="7"/>
      <c r="H34" s="7"/>
      <c r="I34" s="7"/>
      <c r="J34" s="7"/>
      <c r="K34" s="7"/>
    </row>
    <row r="35" spans="1:26" x14ac:dyDescent="0.25">
      <c r="C35" s="15"/>
    </row>
    <row r="36" spans="1:26" x14ac:dyDescent="0.25">
      <c r="B36" s="15" t="s">
        <v>5</v>
      </c>
      <c r="C36" t="s">
        <v>11</v>
      </c>
      <c r="D36" t="s">
        <v>12</v>
      </c>
      <c r="F36" s="52" t="s">
        <v>39</v>
      </c>
      <c r="G36" s="52" t="s">
        <v>40</v>
      </c>
      <c r="H36" s="52" t="s">
        <v>41</v>
      </c>
      <c r="M36" s="9"/>
      <c r="N36" s="31" t="s">
        <v>47</v>
      </c>
      <c r="O36" s="32"/>
      <c r="P36" s="33"/>
      <c r="Q36" s="31" t="s">
        <v>48</v>
      </c>
      <c r="R36" s="32"/>
      <c r="S36" s="33"/>
      <c r="T36" s="31" t="s">
        <v>49</v>
      </c>
      <c r="U36" s="32"/>
      <c r="V36" s="33"/>
      <c r="W36" s="31" t="s">
        <v>50</v>
      </c>
      <c r="X36" s="32"/>
      <c r="Y36" s="33"/>
      <c r="Z36" s="31" t="s">
        <v>51</v>
      </c>
    </row>
    <row r="37" spans="1:26" x14ac:dyDescent="0.25">
      <c r="B37">
        <v>156</v>
      </c>
      <c r="C37" s="45">
        <v>500</v>
      </c>
      <c r="D37">
        <v>400</v>
      </c>
      <c r="F37" s="53">
        <v>12100</v>
      </c>
      <c r="G37" s="92">
        <f>G38+D37</f>
        <v>12950</v>
      </c>
      <c r="H37">
        <f>ABS(F37-G37)</f>
        <v>850</v>
      </c>
      <c r="M37" s="9"/>
      <c r="N37" s="31" t="s">
        <v>47</v>
      </c>
      <c r="O37" s="32"/>
      <c r="P37" s="33"/>
      <c r="Q37" s="31" t="s">
        <v>48</v>
      </c>
      <c r="R37" s="32"/>
      <c r="S37" s="33"/>
      <c r="T37" s="31" t="s">
        <v>49</v>
      </c>
      <c r="U37" s="32"/>
      <c r="V37" s="11" t="s">
        <v>0</v>
      </c>
      <c r="W37" s="31" t="s">
        <v>50</v>
      </c>
      <c r="X37" s="32"/>
      <c r="Y37" s="33"/>
      <c r="Z37" s="31" t="s">
        <v>51</v>
      </c>
    </row>
    <row r="38" spans="1:26" x14ac:dyDescent="0.25">
      <c r="B38" s="91">
        <v>155</v>
      </c>
      <c r="C38" s="45">
        <v>300</v>
      </c>
      <c r="D38">
        <v>250</v>
      </c>
      <c r="F38" s="93">
        <f>F37+D38</f>
        <v>12350</v>
      </c>
      <c r="G38" s="92">
        <f>G39+D38</f>
        <v>12550</v>
      </c>
      <c r="H38">
        <f t="shared" ref="H38:H39" si="2">ABS(F38-G38)</f>
        <v>200</v>
      </c>
    </row>
    <row r="39" spans="1:26" x14ac:dyDescent="0.25">
      <c r="B39">
        <v>154</v>
      </c>
      <c r="C39" s="45">
        <v>250</v>
      </c>
      <c r="D39">
        <v>350</v>
      </c>
      <c r="F39" s="92">
        <f>F38+C39</f>
        <v>12600</v>
      </c>
      <c r="G39" s="53">
        <v>12300</v>
      </c>
      <c r="H39">
        <f t="shared" si="2"/>
        <v>300</v>
      </c>
    </row>
    <row r="40" spans="1:26" x14ac:dyDescent="0.25">
      <c r="C40" s="15"/>
    </row>
    <row r="41" spans="1:26" x14ac:dyDescent="0.25">
      <c r="B41" t="s">
        <v>43</v>
      </c>
      <c r="C41" s="45">
        <f>B38</f>
        <v>155</v>
      </c>
      <c r="F41" t="s">
        <v>44</v>
      </c>
      <c r="H41" s="53">
        <f>MIN(F38,G38)</f>
        <v>12350</v>
      </c>
      <c r="I41" t="s">
        <v>45</v>
      </c>
    </row>
    <row r="42" spans="1:26" x14ac:dyDescent="0.25">
      <c r="C42" s="15"/>
      <c r="I42" t="s">
        <v>46</v>
      </c>
    </row>
    <row r="43" spans="1:26" x14ac:dyDescent="0.25">
      <c r="C43" s="15"/>
    </row>
    <row r="44" spans="1:26" x14ac:dyDescent="0.25">
      <c r="B44" t="s">
        <v>52</v>
      </c>
      <c r="C44" s="45">
        <v>250</v>
      </c>
      <c r="D44">
        <v>154</v>
      </c>
      <c r="F44">
        <v>155</v>
      </c>
      <c r="G44">
        <v>200</v>
      </c>
    </row>
    <row r="45" spans="1:26" x14ac:dyDescent="0.25">
      <c r="C45" s="15"/>
    </row>
    <row r="46" spans="1:26" ht="15.75" thickBot="1" x14ac:dyDescent="0.3"/>
    <row r="47" spans="1:26" ht="15.75" thickBot="1" x14ac:dyDescent="0.3">
      <c r="C47" s="105" t="s">
        <v>1</v>
      </c>
      <c r="D47" s="106"/>
      <c r="E47" s="106"/>
      <c r="F47" s="106"/>
      <c r="G47" s="107"/>
    </row>
    <row r="48" spans="1:26" ht="15.75" thickBot="1" x14ac:dyDescent="0.3">
      <c r="C48" s="105" t="s">
        <v>2</v>
      </c>
      <c r="D48" s="108"/>
      <c r="E48" s="19"/>
      <c r="F48" s="105" t="s">
        <v>3</v>
      </c>
      <c r="G48" s="107"/>
    </row>
    <row r="49" spans="1:11" ht="15.75" thickBot="1" x14ac:dyDescent="0.3">
      <c r="C49" s="20" t="s">
        <v>4</v>
      </c>
      <c r="D49" s="21" t="s">
        <v>5</v>
      </c>
      <c r="E49" s="22"/>
      <c r="F49" s="20" t="s">
        <v>5</v>
      </c>
      <c r="G49" s="21" t="s">
        <v>4</v>
      </c>
    </row>
    <row r="50" spans="1:11" x14ac:dyDescent="0.25">
      <c r="C50" s="23">
        <v>300</v>
      </c>
      <c r="D50" s="57">
        <v>156</v>
      </c>
      <c r="E50" s="62"/>
      <c r="F50" s="57">
        <v>157</v>
      </c>
      <c r="G50" s="23">
        <v>1400</v>
      </c>
    </row>
    <row r="51" spans="1:11" x14ac:dyDescent="0.25">
      <c r="C51" s="25">
        <v>1200</v>
      </c>
      <c r="D51" s="58">
        <v>155</v>
      </c>
      <c r="E51" s="63"/>
      <c r="F51" s="58">
        <v>158</v>
      </c>
      <c r="G51" s="25">
        <v>600</v>
      </c>
    </row>
    <row r="52" spans="1:11" ht="15.75" thickBot="1" x14ac:dyDescent="0.3">
      <c r="C52" s="26">
        <v>2500</v>
      </c>
      <c r="D52" s="59">
        <v>154</v>
      </c>
      <c r="E52" s="63"/>
      <c r="F52" s="59">
        <v>159</v>
      </c>
      <c r="G52" s="26">
        <v>1500</v>
      </c>
    </row>
    <row r="54" spans="1:11" x14ac:dyDescent="0.25">
      <c r="A54" s="27" t="s">
        <v>9</v>
      </c>
      <c r="B54" s="28" t="s">
        <v>65</v>
      </c>
      <c r="C54" s="7"/>
      <c r="D54" s="7"/>
      <c r="E54" s="7"/>
      <c r="F54" s="7"/>
      <c r="G54" s="7"/>
      <c r="I54" s="29"/>
      <c r="J54" s="29"/>
      <c r="K54" s="29"/>
    </row>
    <row r="55" spans="1:11" x14ac:dyDescent="0.25">
      <c r="B55" s="30">
        <v>0.58378472222222222</v>
      </c>
      <c r="C55" s="7" t="s">
        <v>53</v>
      </c>
      <c r="D55" s="7"/>
      <c r="E55" s="7"/>
    </row>
    <row r="56" spans="1:11" ht="15.75" thickBot="1" x14ac:dyDescent="0.3"/>
    <row r="57" spans="1:11" ht="15.75" thickBot="1" x14ac:dyDescent="0.3">
      <c r="C57" s="105" t="s">
        <v>58</v>
      </c>
      <c r="D57" s="106"/>
      <c r="E57" s="106"/>
      <c r="F57" s="106"/>
      <c r="G57" s="107"/>
    </row>
    <row r="58" spans="1:11" ht="15.75" thickBot="1" x14ac:dyDescent="0.3">
      <c r="C58" s="105" t="s">
        <v>2</v>
      </c>
      <c r="D58" s="108"/>
      <c r="E58" s="19"/>
      <c r="F58" s="105" t="s">
        <v>3</v>
      </c>
      <c r="G58" s="107"/>
    </row>
    <row r="59" spans="1:11" ht="15.75" thickBot="1" x14ac:dyDescent="0.3">
      <c r="C59" s="20" t="s">
        <v>4</v>
      </c>
      <c r="D59" s="21" t="s">
        <v>5</v>
      </c>
      <c r="E59" s="22"/>
      <c r="F59" s="20" t="s">
        <v>5</v>
      </c>
      <c r="G59" s="21" t="s">
        <v>4</v>
      </c>
    </row>
    <row r="60" spans="1:11" x14ac:dyDescent="0.25">
      <c r="C60" s="23">
        <v>300</v>
      </c>
      <c r="D60" s="57">
        <v>156</v>
      </c>
      <c r="E60" s="62"/>
      <c r="F60" s="57">
        <v>157</v>
      </c>
      <c r="G60" s="54">
        <v>800</v>
      </c>
      <c r="I60" t="s">
        <v>54</v>
      </c>
    </row>
    <row r="61" spans="1:11" x14ac:dyDescent="0.25">
      <c r="C61" s="25">
        <v>1200</v>
      </c>
      <c r="D61" s="58">
        <v>155</v>
      </c>
      <c r="E61" s="63"/>
      <c r="F61" s="58">
        <v>158</v>
      </c>
      <c r="G61" s="25">
        <v>600</v>
      </c>
    </row>
    <row r="62" spans="1:11" ht="15.75" thickBot="1" x14ac:dyDescent="0.3">
      <c r="C62" s="26">
        <v>2500</v>
      </c>
      <c r="D62" s="59">
        <v>154</v>
      </c>
      <c r="E62" s="63"/>
      <c r="F62" s="59">
        <v>159</v>
      </c>
      <c r="G62" s="26">
        <v>1500</v>
      </c>
    </row>
    <row r="64" spans="1:11" x14ac:dyDescent="0.25">
      <c r="B64" s="30">
        <v>0.58381944444444445</v>
      </c>
      <c r="C64" s="7" t="s">
        <v>55</v>
      </c>
      <c r="D64" s="7"/>
      <c r="E64" s="7"/>
    </row>
    <row r="65" spans="2:26" ht="15.75" thickBot="1" x14ac:dyDescent="0.3"/>
    <row r="66" spans="2:26" ht="15.75" thickBot="1" x14ac:dyDescent="0.3">
      <c r="C66" s="105" t="s">
        <v>59</v>
      </c>
      <c r="D66" s="106"/>
      <c r="E66" s="106"/>
      <c r="F66" s="106"/>
      <c r="G66" s="107"/>
    </row>
    <row r="67" spans="2:26" ht="15.75" thickBot="1" x14ac:dyDescent="0.3">
      <c r="C67" s="105" t="s">
        <v>2</v>
      </c>
      <c r="D67" s="108"/>
      <c r="E67" s="19"/>
      <c r="F67" s="105" t="s">
        <v>3</v>
      </c>
      <c r="G67" s="107"/>
    </row>
    <row r="68" spans="2:26" ht="15.75" thickBot="1" x14ac:dyDescent="0.3">
      <c r="C68" s="20" t="s">
        <v>4</v>
      </c>
      <c r="D68" s="21" t="s">
        <v>5</v>
      </c>
      <c r="E68" s="22"/>
      <c r="F68" s="20" t="s">
        <v>5</v>
      </c>
      <c r="G68" s="21" t="s">
        <v>4</v>
      </c>
    </row>
    <row r="69" spans="2:26" x14ac:dyDescent="0.25">
      <c r="C69" s="23">
        <v>300</v>
      </c>
      <c r="D69" s="57">
        <v>156</v>
      </c>
      <c r="E69" s="62"/>
      <c r="F69" s="57">
        <v>158</v>
      </c>
      <c r="G69" s="23">
        <v>600</v>
      </c>
    </row>
    <row r="70" spans="2:26" x14ac:dyDescent="0.25">
      <c r="C70" s="25">
        <v>1200</v>
      </c>
      <c r="D70" s="58">
        <v>155</v>
      </c>
      <c r="E70" s="63"/>
      <c r="F70" s="58">
        <v>159</v>
      </c>
      <c r="G70" s="25">
        <v>1500</v>
      </c>
      <c r="I70" t="s">
        <v>56</v>
      </c>
    </row>
    <row r="71" spans="2:26" ht="15.75" thickBot="1" x14ac:dyDescent="0.3">
      <c r="C71" s="26">
        <v>2500</v>
      </c>
      <c r="D71" s="59">
        <v>154</v>
      </c>
      <c r="E71" s="63"/>
      <c r="F71" s="59"/>
      <c r="G71" s="26"/>
    </row>
    <row r="72" spans="2:26" x14ac:dyDescent="0.25">
      <c r="C72" s="10"/>
      <c r="D72" s="55"/>
      <c r="E72" s="10"/>
      <c r="F72" s="55"/>
      <c r="G72" s="10"/>
    </row>
    <row r="73" spans="2:26" x14ac:dyDescent="0.25">
      <c r="B73" s="30">
        <v>0.58390046296296294</v>
      </c>
      <c r="C73" s="7" t="s">
        <v>57</v>
      </c>
      <c r="D73" s="7"/>
      <c r="E73" s="7"/>
      <c r="F73" s="55"/>
      <c r="G73" s="10"/>
    </row>
    <row r="74" spans="2:26" ht="15.75" thickBot="1" x14ac:dyDescent="0.3">
      <c r="C74" s="10"/>
      <c r="D74" s="55"/>
      <c r="E74" s="10"/>
      <c r="F74" s="55"/>
      <c r="G74" s="10"/>
    </row>
    <row r="75" spans="2:26" ht="15.75" thickBot="1" x14ac:dyDescent="0.3">
      <c r="C75" s="105" t="s">
        <v>60</v>
      </c>
      <c r="D75" s="106"/>
      <c r="E75" s="106"/>
      <c r="F75" s="106"/>
      <c r="G75" s="107"/>
    </row>
    <row r="76" spans="2:26" ht="15.75" thickBot="1" x14ac:dyDescent="0.3">
      <c r="C76" s="105" t="s">
        <v>2</v>
      </c>
      <c r="D76" s="108"/>
      <c r="E76" s="19"/>
      <c r="F76" s="105" t="s">
        <v>3</v>
      </c>
      <c r="G76" s="107"/>
    </row>
    <row r="77" spans="2:26" ht="15.75" thickBot="1" x14ac:dyDescent="0.3">
      <c r="C77" s="20" t="s">
        <v>4</v>
      </c>
      <c r="D77" s="21" t="s">
        <v>5</v>
      </c>
      <c r="E77" s="22"/>
      <c r="F77" s="20" t="s">
        <v>5</v>
      </c>
      <c r="G77" s="21" t="s">
        <v>4</v>
      </c>
      <c r="I77" s="56" t="s">
        <v>61</v>
      </c>
    </row>
    <row r="78" spans="2:26" x14ac:dyDescent="0.25">
      <c r="C78" s="23">
        <v>2400</v>
      </c>
      <c r="D78" s="57">
        <v>154</v>
      </c>
      <c r="E78" s="62"/>
      <c r="F78" s="57">
        <v>158</v>
      </c>
      <c r="G78" s="23">
        <v>600</v>
      </c>
      <c r="I78" t="s">
        <v>62</v>
      </c>
    </row>
    <row r="79" spans="2:26" x14ac:dyDescent="0.25">
      <c r="C79" s="25"/>
      <c r="D79" s="58"/>
      <c r="E79" s="63"/>
      <c r="F79" s="58">
        <v>159</v>
      </c>
      <c r="G79" s="25">
        <v>1500</v>
      </c>
      <c r="I79" t="s">
        <v>63</v>
      </c>
      <c r="M79" s="9"/>
      <c r="N79" s="31" t="s">
        <v>66</v>
      </c>
      <c r="O79" s="32"/>
      <c r="P79" s="33"/>
      <c r="Q79" s="31" t="s">
        <v>67</v>
      </c>
      <c r="R79" s="32"/>
      <c r="S79" s="33"/>
      <c r="T79" s="31" t="s">
        <v>47</v>
      </c>
      <c r="U79" s="32"/>
      <c r="V79" s="33"/>
      <c r="W79" s="31" t="s">
        <v>51</v>
      </c>
      <c r="X79" s="32"/>
      <c r="Y79" s="33"/>
      <c r="Z79" s="31" t="s">
        <v>68</v>
      </c>
    </row>
    <row r="80" spans="2:26" ht="15.75" thickBot="1" x14ac:dyDescent="0.3">
      <c r="C80" s="26"/>
      <c r="D80" s="59"/>
      <c r="E80" s="63"/>
      <c r="F80" s="59"/>
      <c r="G80" s="26"/>
      <c r="I80" t="s">
        <v>64</v>
      </c>
      <c r="M80" s="9"/>
      <c r="N80" s="31" t="s">
        <v>66</v>
      </c>
      <c r="O80" s="32"/>
      <c r="P80" s="33"/>
      <c r="Q80" s="31" t="s">
        <v>67</v>
      </c>
      <c r="R80" s="32"/>
      <c r="S80" s="33"/>
      <c r="T80" s="31" t="s">
        <v>47</v>
      </c>
      <c r="U80" s="32"/>
      <c r="V80" s="33"/>
      <c r="W80" s="31" t="s">
        <v>51</v>
      </c>
      <c r="X80" s="32"/>
      <c r="Y80" s="11" t="s">
        <v>0</v>
      </c>
      <c r="Z80" s="31" t="s">
        <v>68</v>
      </c>
    </row>
    <row r="81" spans="1:9" x14ac:dyDescent="0.25">
      <c r="C81" s="10"/>
      <c r="D81" s="55"/>
      <c r="E81" s="10"/>
      <c r="F81" s="55"/>
      <c r="G81" s="10"/>
    </row>
    <row r="82" spans="1:9" x14ac:dyDescent="0.25">
      <c r="A82" s="27" t="s">
        <v>73</v>
      </c>
      <c r="B82" s="28" t="s">
        <v>10</v>
      </c>
      <c r="C82" s="7"/>
      <c r="D82" s="7"/>
      <c r="E82" s="7"/>
      <c r="F82" s="7"/>
      <c r="G82" s="7"/>
    </row>
    <row r="83" spans="1:9" x14ac:dyDescent="0.25">
      <c r="B83" s="34">
        <v>0.58219907407407401</v>
      </c>
      <c r="C83" t="s">
        <v>69</v>
      </c>
    </row>
    <row r="84" spans="1:9" x14ac:dyDescent="0.25">
      <c r="B84" s="34">
        <v>0.58231481481481484</v>
      </c>
      <c r="C84" t="s">
        <v>70</v>
      </c>
    </row>
    <row r="85" spans="1:9" x14ac:dyDescent="0.25">
      <c r="B85" s="34">
        <v>0.58234953703703707</v>
      </c>
      <c r="C85" t="s">
        <v>55</v>
      </c>
    </row>
    <row r="86" spans="1:9" ht="15.75" thickBot="1" x14ac:dyDescent="0.3"/>
    <row r="87" spans="1:9" ht="15.75" thickBot="1" x14ac:dyDescent="0.3">
      <c r="C87" s="105" t="s">
        <v>1</v>
      </c>
      <c r="D87" s="106"/>
      <c r="E87" s="106"/>
      <c r="F87" s="106"/>
      <c r="G87" s="107"/>
    </row>
    <row r="88" spans="1:9" ht="15.75" thickBot="1" x14ac:dyDescent="0.3">
      <c r="C88" s="105" t="s">
        <v>2</v>
      </c>
      <c r="D88" s="108"/>
      <c r="E88" s="19"/>
      <c r="F88" s="105" t="s">
        <v>3</v>
      </c>
      <c r="G88" s="107"/>
    </row>
    <row r="89" spans="1:9" ht="15.75" thickBot="1" x14ac:dyDescent="0.3">
      <c r="C89" s="20" t="s">
        <v>4</v>
      </c>
      <c r="D89" s="21" t="s">
        <v>5</v>
      </c>
      <c r="E89" s="22"/>
      <c r="F89" s="20" t="s">
        <v>5</v>
      </c>
      <c r="G89" s="21" t="s">
        <v>4</v>
      </c>
    </row>
    <row r="90" spans="1:9" x14ac:dyDescent="0.25">
      <c r="C90" s="94">
        <v>300</v>
      </c>
      <c r="D90" s="95">
        <v>156</v>
      </c>
      <c r="E90" s="62"/>
      <c r="F90" s="57">
        <v>157</v>
      </c>
      <c r="G90" s="54">
        <v>1400</v>
      </c>
      <c r="I90" t="s">
        <v>134</v>
      </c>
    </row>
    <row r="91" spans="1:9" x14ac:dyDescent="0.25">
      <c r="C91" s="25">
        <v>1200</v>
      </c>
      <c r="D91" s="58">
        <v>155</v>
      </c>
      <c r="E91" s="63"/>
      <c r="F91" s="58">
        <v>158</v>
      </c>
      <c r="G91" s="25">
        <v>600</v>
      </c>
    </row>
    <row r="92" spans="1:9" ht="15.75" thickBot="1" x14ac:dyDescent="0.3">
      <c r="C92" s="26">
        <v>2500</v>
      </c>
      <c r="D92" s="59">
        <v>154</v>
      </c>
      <c r="E92" s="63"/>
      <c r="F92" s="59">
        <v>159</v>
      </c>
      <c r="G92" s="26">
        <v>1500</v>
      </c>
    </row>
    <row r="94" spans="1:9" x14ac:dyDescent="0.25">
      <c r="B94" s="34">
        <v>0.58234953703703707</v>
      </c>
      <c r="C94" t="s">
        <v>55</v>
      </c>
    </row>
    <row r="95" spans="1:9" ht="15.75" thickBot="1" x14ac:dyDescent="0.3"/>
    <row r="96" spans="1:9" ht="15.75" thickBot="1" x14ac:dyDescent="0.3">
      <c r="C96" s="105" t="s">
        <v>6</v>
      </c>
      <c r="D96" s="106"/>
      <c r="E96" s="106"/>
      <c r="F96" s="106"/>
      <c r="G96" s="107"/>
    </row>
    <row r="97" spans="2:9" ht="15.75" thickBot="1" x14ac:dyDescent="0.3">
      <c r="C97" s="105" t="s">
        <v>2</v>
      </c>
      <c r="D97" s="108"/>
      <c r="E97" s="19"/>
      <c r="F97" s="105" t="s">
        <v>3</v>
      </c>
      <c r="G97" s="107"/>
    </row>
    <row r="98" spans="2:9" ht="15.75" thickBot="1" x14ac:dyDescent="0.3">
      <c r="C98" s="20" t="s">
        <v>4</v>
      </c>
      <c r="D98" s="21" t="s">
        <v>5</v>
      </c>
      <c r="E98" s="22"/>
      <c r="F98" s="20" t="s">
        <v>5</v>
      </c>
      <c r="G98" s="21" t="s">
        <v>4</v>
      </c>
    </row>
    <row r="99" spans="2:9" x14ac:dyDescent="0.25">
      <c r="C99" s="23">
        <v>300</v>
      </c>
      <c r="D99" s="57">
        <v>156</v>
      </c>
      <c r="E99" s="24"/>
      <c r="F99" s="57">
        <v>157</v>
      </c>
      <c r="G99" s="35">
        <v>2200</v>
      </c>
    </row>
    <row r="100" spans="2:9" x14ac:dyDescent="0.25">
      <c r="C100" s="25">
        <v>1200</v>
      </c>
      <c r="D100" s="58">
        <v>155</v>
      </c>
      <c r="E100" s="10"/>
      <c r="F100" s="60">
        <v>158</v>
      </c>
      <c r="G100" s="61">
        <v>600</v>
      </c>
      <c r="I100" t="s">
        <v>71</v>
      </c>
    </row>
    <row r="101" spans="2:9" ht="15.75" thickBot="1" x14ac:dyDescent="0.3">
      <c r="C101" s="26">
        <v>2500</v>
      </c>
      <c r="D101" s="59">
        <v>154</v>
      </c>
      <c r="E101" s="10"/>
      <c r="F101" s="59">
        <v>159</v>
      </c>
      <c r="G101" s="37">
        <v>1500</v>
      </c>
    </row>
    <row r="103" spans="2:9" x14ac:dyDescent="0.25">
      <c r="B103" s="34">
        <v>0.58231481481481484</v>
      </c>
      <c r="C103" t="s">
        <v>70</v>
      </c>
      <c r="I103" s="34"/>
    </row>
    <row r="104" spans="2:9" ht="15.75" thickBot="1" x14ac:dyDescent="0.3"/>
    <row r="105" spans="2:9" ht="15.75" thickBot="1" x14ac:dyDescent="0.3">
      <c r="C105" s="105" t="s">
        <v>7</v>
      </c>
      <c r="D105" s="106"/>
      <c r="E105" s="106"/>
      <c r="F105" s="106"/>
      <c r="G105" s="107"/>
    </row>
    <row r="106" spans="2:9" ht="15.75" thickBot="1" x14ac:dyDescent="0.3">
      <c r="C106" s="105" t="s">
        <v>2</v>
      </c>
      <c r="D106" s="108"/>
      <c r="E106" s="19"/>
      <c r="F106" s="105" t="s">
        <v>3</v>
      </c>
      <c r="G106" s="107"/>
    </row>
    <row r="107" spans="2:9" ht="15.75" thickBot="1" x14ac:dyDescent="0.3">
      <c r="C107" s="20" t="s">
        <v>4</v>
      </c>
      <c r="D107" s="21" t="s">
        <v>5</v>
      </c>
      <c r="E107" s="22"/>
      <c r="F107" s="20" t="s">
        <v>5</v>
      </c>
      <c r="G107" s="21" t="s">
        <v>4</v>
      </c>
    </row>
    <row r="108" spans="2:9" x14ac:dyDescent="0.25">
      <c r="C108" s="54">
        <v>300</v>
      </c>
      <c r="D108" s="64">
        <v>156</v>
      </c>
      <c r="E108" s="24"/>
      <c r="F108" s="57">
        <v>157</v>
      </c>
      <c r="G108" s="96">
        <v>2200</v>
      </c>
      <c r="I108" t="s">
        <v>72</v>
      </c>
    </row>
    <row r="109" spans="2:9" x14ac:dyDescent="0.25">
      <c r="C109" s="25">
        <v>1200</v>
      </c>
      <c r="D109" s="58">
        <v>155</v>
      </c>
      <c r="E109" s="10"/>
      <c r="F109" s="58">
        <v>159</v>
      </c>
      <c r="G109" s="36">
        <v>1500</v>
      </c>
    </row>
    <row r="110" spans="2:9" ht="15.75" thickBot="1" x14ac:dyDescent="0.3">
      <c r="C110" s="26">
        <v>2500</v>
      </c>
      <c r="D110" s="59">
        <v>154</v>
      </c>
      <c r="E110" s="10"/>
      <c r="F110" s="59"/>
      <c r="G110" s="37"/>
    </row>
    <row r="112" spans="2:9" x14ac:dyDescent="0.25">
      <c r="B112" s="34">
        <v>0.58219907407407401</v>
      </c>
      <c r="C112" t="s">
        <v>69</v>
      </c>
      <c r="I112" s="34"/>
    </row>
    <row r="113" spans="1:26" ht="15.75" thickBot="1" x14ac:dyDescent="0.3"/>
    <row r="114" spans="1:26" ht="15.75" thickBot="1" x14ac:dyDescent="0.3">
      <c r="C114" s="105" t="s">
        <v>8</v>
      </c>
      <c r="D114" s="106"/>
      <c r="E114" s="106"/>
      <c r="F114" s="106"/>
      <c r="G114" s="107"/>
    </row>
    <row r="115" spans="1:26" ht="15.75" thickBot="1" x14ac:dyDescent="0.3">
      <c r="C115" s="105" t="s">
        <v>2</v>
      </c>
      <c r="D115" s="108"/>
      <c r="E115" s="19"/>
      <c r="F115" s="105" t="s">
        <v>3</v>
      </c>
      <c r="G115" s="107"/>
    </row>
    <row r="116" spans="1:26" ht="15.75" thickBot="1" x14ac:dyDescent="0.3">
      <c r="C116" s="20" t="s">
        <v>4</v>
      </c>
      <c r="D116" s="21" t="s">
        <v>5</v>
      </c>
      <c r="E116" s="22"/>
      <c r="F116" s="20" t="s">
        <v>5</v>
      </c>
      <c r="G116" s="21" t="s">
        <v>4</v>
      </c>
      <c r="M116" s="9"/>
      <c r="N116" s="31" t="s">
        <v>66</v>
      </c>
      <c r="O116" s="32"/>
      <c r="P116" s="33"/>
      <c r="Q116" s="31" t="s">
        <v>67</v>
      </c>
      <c r="R116" s="32"/>
      <c r="S116" s="33"/>
      <c r="T116" s="31" t="s">
        <v>47</v>
      </c>
      <c r="U116" s="32"/>
      <c r="V116" s="33"/>
      <c r="W116" s="31" t="s">
        <v>51</v>
      </c>
      <c r="X116" s="32"/>
      <c r="Y116" s="33"/>
      <c r="Z116" s="31" t="s">
        <v>68</v>
      </c>
    </row>
    <row r="117" spans="1:26" x14ac:dyDescent="0.25">
      <c r="C117" s="23">
        <v>1200</v>
      </c>
      <c r="D117" s="90">
        <v>155</v>
      </c>
      <c r="E117" s="24"/>
      <c r="F117" s="90">
        <v>157</v>
      </c>
      <c r="G117" s="35">
        <v>2200</v>
      </c>
      <c r="M117" s="9"/>
      <c r="N117" s="31" t="s">
        <v>66</v>
      </c>
      <c r="O117" s="32"/>
      <c r="P117" s="33"/>
      <c r="Q117" s="31" t="s">
        <v>67</v>
      </c>
      <c r="R117" s="32"/>
      <c r="S117" s="33"/>
      <c r="T117" s="31" t="s">
        <v>47</v>
      </c>
      <c r="U117" s="32"/>
      <c r="V117" s="11" t="s">
        <v>0</v>
      </c>
      <c r="W117" s="31" t="s">
        <v>51</v>
      </c>
      <c r="X117" s="32"/>
      <c r="Y117" s="33"/>
      <c r="Z117" s="31" t="s">
        <v>68</v>
      </c>
    </row>
    <row r="118" spans="1:26" x14ac:dyDescent="0.25">
      <c r="C118" s="25">
        <v>2500</v>
      </c>
      <c r="D118" s="58">
        <v>154</v>
      </c>
      <c r="E118" s="10"/>
      <c r="F118" s="58">
        <v>159</v>
      </c>
      <c r="G118" s="36">
        <v>1500</v>
      </c>
    </row>
    <row r="119" spans="1:26" ht="15.75" thickBot="1" x14ac:dyDescent="0.3">
      <c r="C119" s="26"/>
      <c r="D119" s="59"/>
      <c r="E119" s="10"/>
      <c r="F119" s="59"/>
      <c r="G119" s="37"/>
    </row>
    <row r="120" spans="1:26" x14ac:dyDescent="0.25">
      <c r="C120" s="10"/>
      <c r="D120" s="63"/>
      <c r="E120" s="10"/>
      <c r="F120" s="63"/>
      <c r="G120" s="65"/>
    </row>
    <row r="122" spans="1:26" x14ac:dyDescent="0.25">
      <c r="A122" s="28" t="s">
        <v>109</v>
      </c>
      <c r="B122" s="6"/>
      <c r="C122" s="7"/>
      <c r="D122" s="38"/>
      <c r="E122" s="38"/>
      <c r="F122" s="38"/>
      <c r="G122" s="38"/>
      <c r="H122" s="7"/>
      <c r="I122" s="7"/>
      <c r="J122" s="7"/>
    </row>
    <row r="123" spans="1:26" x14ac:dyDescent="0.25">
      <c r="B123" s="27" t="s">
        <v>74</v>
      </c>
      <c r="C123" s="14"/>
      <c r="D123" s="7"/>
      <c r="E123" s="7"/>
      <c r="F123" s="7"/>
      <c r="G123" s="7"/>
      <c r="H123" s="7"/>
      <c r="I123" s="7"/>
      <c r="J123" s="7"/>
    </row>
    <row r="124" spans="1:26" x14ac:dyDescent="0.25">
      <c r="C124" s="15"/>
    </row>
    <row r="125" spans="1:26" x14ac:dyDescent="0.25">
      <c r="B125" t="s">
        <v>31</v>
      </c>
      <c r="C125" s="18">
        <v>0.04</v>
      </c>
      <c r="F125" t="s">
        <v>29</v>
      </c>
      <c r="G125" s="97">
        <v>14</v>
      </c>
      <c r="M125" s="9"/>
      <c r="N125" s="31" t="s">
        <v>76</v>
      </c>
      <c r="O125" s="32"/>
      <c r="P125" s="33"/>
      <c r="Q125" s="31" t="s">
        <v>77</v>
      </c>
      <c r="R125" s="32"/>
      <c r="S125" s="33"/>
      <c r="T125" s="31" t="s">
        <v>78</v>
      </c>
      <c r="U125" s="32"/>
      <c r="V125" s="33"/>
      <c r="W125" s="31" t="s">
        <v>79</v>
      </c>
      <c r="X125" s="32"/>
      <c r="Y125" s="33"/>
      <c r="Z125" s="31" t="s">
        <v>80</v>
      </c>
    </row>
    <row r="126" spans="1:26" x14ac:dyDescent="0.25">
      <c r="B126" t="s">
        <v>30</v>
      </c>
      <c r="C126" s="18">
        <v>4.2999999999999997E-2</v>
      </c>
      <c r="F126" t="s">
        <v>75</v>
      </c>
      <c r="G126" s="17">
        <f>C125/(1-(1+C125)^-G125)</f>
        <v>9.4668973056399749E-2</v>
      </c>
      <c r="M126" s="9"/>
      <c r="N126" s="31" t="s">
        <v>76</v>
      </c>
      <c r="O126" s="32"/>
      <c r="P126" s="33"/>
      <c r="Q126" s="31" t="s">
        <v>77</v>
      </c>
      <c r="R126" s="32"/>
      <c r="S126" s="11" t="s">
        <v>0</v>
      </c>
      <c r="T126" s="31" t="s">
        <v>78</v>
      </c>
      <c r="U126" s="32"/>
      <c r="V126" s="33"/>
      <c r="W126" s="31" t="s">
        <v>79</v>
      </c>
      <c r="X126" s="32"/>
      <c r="Y126" s="33"/>
      <c r="Z126" s="31" t="s">
        <v>80</v>
      </c>
    </row>
    <row r="127" spans="1:26" x14ac:dyDescent="0.25">
      <c r="B127" t="s">
        <v>27</v>
      </c>
      <c r="C127" s="17">
        <f>(C125/C126)*((1-(1+C126)^-G125)/(1-(1+C125)^-G125))</f>
        <v>0.98048248337135824</v>
      </c>
      <c r="F127" s="18"/>
    </row>
    <row r="128" spans="1:26" x14ac:dyDescent="0.25">
      <c r="D128" t="s">
        <v>135</v>
      </c>
      <c r="F128" t="s">
        <v>136</v>
      </c>
      <c r="G128" t="s">
        <v>137</v>
      </c>
      <c r="H128" s="17">
        <f>(C125/C126)*((1-(1+C126)^-13)/(1-(1+C125)^-13))</f>
        <v>0.98163947934747176</v>
      </c>
    </row>
    <row r="129" spans="1:26" x14ac:dyDescent="0.25">
      <c r="F129" t="s">
        <v>139</v>
      </c>
      <c r="G129" t="s">
        <v>140</v>
      </c>
      <c r="H129" s="17">
        <f>(C125/C126)*((1-(1+C126)^-16)/(1-(1+C125)^-16))</f>
        <v>0.97822795283754516</v>
      </c>
    </row>
    <row r="130" spans="1:26" x14ac:dyDescent="0.25">
      <c r="F130" t="s">
        <v>138</v>
      </c>
      <c r="H130" s="98">
        <f>13+(16-13)*(H128-C127)/(H128-H129)</f>
        <v>14.017429563639894</v>
      </c>
      <c r="I130" s="99">
        <f>ROUND(H130,0)</f>
        <v>14</v>
      </c>
    </row>
    <row r="132" spans="1:26" x14ac:dyDescent="0.25">
      <c r="A132" s="8" t="s">
        <v>81</v>
      </c>
      <c r="B132" s="7"/>
      <c r="C132" s="7"/>
      <c r="D132" s="7"/>
      <c r="E132" s="7"/>
      <c r="F132" s="7"/>
      <c r="G132" s="7"/>
      <c r="H132" s="7"/>
      <c r="I132" s="7"/>
      <c r="J132" s="7"/>
    </row>
    <row r="133" spans="1:26" x14ac:dyDescent="0.25">
      <c r="B133" s="27" t="s">
        <v>119</v>
      </c>
      <c r="C133" s="7"/>
      <c r="D133" s="7"/>
      <c r="E133" s="7"/>
      <c r="F133" s="7"/>
      <c r="G133" s="7"/>
      <c r="H133" s="7"/>
      <c r="I133" s="7"/>
      <c r="J133" s="7"/>
    </row>
    <row r="135" spans="1:26" x14ac:dyDescent="0.25">
      <c r="B135" t="s">
        <v>112</v>
      </c>
      <c r="C135" s="85">
        <f>1/G135</f>
        <v>1.1337868480725624</v>
      </c>
      <c r="F135" t="s">
        <v>113</v>
      </c>
      <c r="G135" s="85">
        <v>0.88200000000000001</v>
      </c>
    </row>
    <row r="136" spans="1:26" x14ac:dyDescent="0.25">
      <c r="B136" t="s">
        <v>114</v>
      </c>
      <c r="C136" s="85">
        <v>1.3320000000000001</v>
      </c>
      <c r="G136" s="85"/>
      <c r="M136" s="9"/>
      <c r="N136" s="66">
        <v>1.56</v>
      </c>
      <c r="O136" s="67"/>
      <c r="P136" s="68"/>
      <c r="Q136" s="66">
        <v>1.67</v>
      </c>
      <c r="R136" s="69"/>
      <c r="S136" s="68"/>
      <c r="T136" s="66">
        <v>1.72</v>
      </c>
      <c r="U136" s="67"/>
      <c r="V136" s="68"/>
      <c r="W136" s="66">
        <v>1.75</v>
      </c>
      <c r="X136" s="67"/>
      <c r="Y136" s="68"/>
      <c r="Z136" s="66">
        <v>1.62</v>
      </c>
    </row>
    <row r="137" spans="1:26" x14ac:dyDescent="0.25">
      <c r="B137" t="s">
        <v>115</v>
      </c>
      <c r="C137" s="85">
        <f>1/G137</f>
        <v>1.0729613733905579</v>
      </c>
      <c r="F137" t="s">
        <v>116</v>
      </c>
      <c r="G137" s="85">
        <v>0.93200000000000005</v>
      </c>
      <c r="M137" s="9"/>
      <c r="N137" s="66">
        <v>1.56</v>
      </c>
      <c r="O137" s="67"/>
      <c r="P137" s="68"/>
      <c r="Q137" s="66">
        <v>1.67</v>
      </c>
      <c r="R137" s="10"/>
      <c r="S137" s="68"/>
      <c r="T137" s="66">
        <v>1.72</v>
      </c>
      <c r="V137" s="11" t="s">
        <v>0</v>
      </c>
      <c r="W137" s="66">
        <v>1.75</v>
      </c>
      <c r="X137" s="67"/>
      <c r="Y137" s="68"/>
      <c r="Z137" s="66">
        <v>1.62</v>
      </c>
    </row>
    <row r="138" spans="1:26" x14ac:dyDescent="0.25">
      <c r="B138" t="s">
        <v>117</v>
      </c>
      <c r="C138" s="85">
        <v>1.252</v>
      </c>
      <c r="I138" t="s">
        <v>120</v>
      </c>
    </row>
    <row r="139" spans="1:26" x14ac:dyDescent="0.25">
      <c r="E139" s="101" t="s">
        <v>142</v>
      </c>
      <c r="I139" s="86">
        <f>(C136*C138)/(G135*G137)</f>
        <v>2.0287290882018043</v>
      </c>
    </row>
    <row r="140" spans="1:26" x14ac:dyDescent="0.25">
      <c r="B140" s="12" t="s">
        <v>118</v>
      </c>
      <c r="C140" s="100">
        <f>C135*C136*C137*C138</f>
        <v>2.0287290882018043</v>
      </c>
      <c r="E140" s="101" t="s">
        <v>141</v>
      </c>
    </row>
    <row r="142" spans="1:26" x14ac:dyDescent="0.25">
      <c r="A142" s="8" t="s">
        <v>82</v>
      </c>
      <c r="B142" s="6"/>
      <c r="C142" s="7"/>
      <c r="D142" s="38"/>
      <c r="E142" s="38"/>
      <c r="F142" s="38"/>
      <c r="G142" s="38"/>
      <c r="H142" s="41"/>
      <c r="I142" s="42"/>
      <c r="J142" s="7"/>
      <c r="K142" s="7"/>
    </row>
    <row r="143" spans="1:26" ht="15.75" thickBot="1" x14ac:dyDescent="0.3">
      <c r="B143" s="27" t="s">
        <v>83</v>
      </c>
      <c r="C143" s="14"/>
      <c r="D143" s="7"/>
      <c r="E143" s="7"/>
      <c r="F143" s="7"/>
      <c r="G143" s="7"/>
      <c r="H143" s="43"/>
      <c r="I143" s="44"/>
    </row>
    <row r="144" spans="1:26" ht="15.75" thickBot="1" x14ac:dyDescent="0.3">
      <c r="C144" s="18" t="s">
        <v>133</v>
      </c>
      <c r="D144" s="46">
        <f>8*9</f>
        <v>72</v>
      </c>
      <c r="M144" s="9"/>
      <c r="N144" s="70" t="s">
        <v>98</v>
      </c>
      <c r="P144" s="9"/>
      <c r="Q144" s="70" t="s">
        <v>99</v>
      </c>
      <c r="R144" s="10"/>
      <c r="S144" s="9"/>
      <c r="T144" s="70" t="s">
        <v>100</v>
      </c>
      <c r="V144" s="9"/>
      <c r="W144" s="70" t="s">
        <v>101</v>
      </c>
      <c r="Y144" s="9"/>
      <c r="Z144" s="70" t="s">
        <v>102</v>
      </c>
    </row>
    <row r="145" spans="1:26" x14ac:dyDescent="0.25">
      <c r="A145" t="s">
        <v>121</v>
      </c>
      <c r="F145" t="s">
        <v>85</v>
      </c>
      <c r="G145" s="17">
        <f>1/(1.06)^8</f>
        <v>0.62741237134182648</v>
      </c>
      <c r="M145" s="9"/>
      <c r="N145" s="70" t="s">
        <v>98</v>
      </c>
      <c r="P145" s="11" t="s">
        <v>0</v>
      </c>
      <c r="Q145" s="70" t="s">
        <v>99</v>
      </c>
      <c r="R145" s="10"/>
      <c r="S145" s="9"/>
      <c r="T145" s="70" t="s">
        <v>100</v>
      </c>
      <c r="V145" s="9"/>
      <c r="W145" s="70" t="s">
        <v>101</v>
      </c>
      <c r="Y145" s="9"/>
      <c r="Z145" s="70" t="s">
        <v>102</v>
      </c>
    </row>
    <row r="146" spans="1:26" x14ac:dyDescent="0.25">
      <c r="C146" s="87">
        <f>-8/(1.06)*0.3% + 72/2*(0.3%/1.06)^2</f>
        <v>-2.235315058739765E-2</v>
      </c>
      <c r="F146" t="s">
        <v>84</v>
      </c>
      <c r="G146" s="17">
        <f>(1/1.063)^8</f>
        <v>0.61338603452755514</v>
      </c>
    </row>
    <row r="147" spans="1:26" x14ac:dyDescent="0.25">
      <c r="C147" s="17"/>
      <c r="F147" t="s">
        <v>86</v>
      </c>
      <c r="G147" s="87">
        <f>(G146-G145)/G145</f>
        <v>-2.2355849924147454E-2</v>
      </c>
    </row>
    <row r="149" spans="1:26" x14ac:dyDescent="0.25">
      <c r="A149" s="8" t="s">
        <v>103</v>
      </c>
      <c r="B149" s="6"/>
      <c r="C149" s="7"/>
      <c r="D149" s="38"/>
      <c r="E149" s="38"/>
      <c r="F149" s="38"/>
      <c r="G149" s="7"/>
      <c r="H149" s="7"/>
      <c r="I149" s="7"/>
      <c r="J149" s="7"/>
    </row>
    <row r="150" spans="1:26" x14ac:dyDescent="0.25">
      <c r="A150" s="8"/>
      <c r="B150" s="71" t="s">
        <v>110</v>
      </c>
      <c r="C150" s="7"/>
      <c r="D150" s="38"/>
      <c r="E150" s="38"/>
      <c r="F150" s="38"/>
      <c r="G150" s="7"/>
      <c r="H150" s="7"/>
      <c r="I150" s="7"/>
      <c r="J150" s="7"/>
    </row>
    <row r="151" spans="1:26" x14ac:dyDescent="0.25">
      <c r="A151" s="8"/>
      <c r="B151" s="71"/>
      <c r="C151" s="7"/>
      <c r="D151" s="38"/>
      <c r="E151" s="38"/>
      <c r="F151" s="38"/>
      <c r="G151" s="7"/>
      <c r="H151" s="7"/>
      <c r="I151" s="7"/>
      <c r="J151" s="7"/>
    </row>
    <row r="152" spans="1:26" x14ac:dyDescent="0.25">
      <c r="C152" s="48" t="s">
        <v>143</v>
      </c>
      <c r="D152" s="48" t="s">
        <v>144</v>
      </c>
    </row>
    <row r="153" spans="1:26" x14ac:dyDescent="0.25">
      <c r="A153">
        <v>1</v>
      </c>
      <c r="B153" t="s">
        <v>122</v>
      </c>
      <c r="C153" s="103" t="s">
        <v>129</v>
      </c>
      <c r="D153" s="47">
        <v>8</v>
      </c>
      <c r="F153" s="17"/>
    </row>
    <row r="154" spans="1:26" x14ac:dyDescent="0.25">
      <c r="A154">
        <v>2</v>
      </c>
      <c r="B154" t="s">
        <v>123</v>
      </c>
      <c r="C154" s="17" t="s">
        <v>130</v>
      </c>
      <c r="D154" s="47">
        <v>5</v>
      </c>
      <c r="F154" s="17"/>
    </row>
    <row r="155" spans="1:26" x14ac:dyDescent="0.25">
      <c r="A155">
        <v>3</v>
      </c>
      <c r="B155" t="s">
        <v>124</v>
      </c>
      <c r="C155" s="17" t="s">
        <v>130</v>
      </c>
      <c r="D155" s="102">
        <v>1</v>
      </c>
      <c r="F155" s="17" t="s">
        <v>132</v>
      </c>
      <c r="M155" s="9"/>
      <c r="N155" s="40" t="s">
        <v>104</v>
      </c>
      <c r="P155" s="9"/>
      <c r="Q155" s="40" t="s">
        <v>105</v>
      </c>
      <c r="R155" s="10"/>
      <c r="S155" s="9"/>
      <c r="T155" s="40" t="s">
        <v>108</v>
      </c>
      <c r="V155" s="9"/>
      <c r="W155" s="40" t="s">
        <v>107</v>
      </c>
      <c r="Y155" s="9"/>
      <c r="Z155" s="40" t="s">
        <v>106</v>
      </c>
    </row>
    <row r="156" spans="1:26" x14ac:dyDescent="0.25">
      <c r="A156">
        <v>4</v>
      </c>
      <c r="B156" t="s">
        <v>125</v>
      </c>
      <c r="C156" s="103" t="s">
        <v>129</v>
      </c>
      <c r="D156" s="47">
        <v>7</v>
      </c>
      <c r="F156" s="17"/>
      <c r="M156" s="9"/>
      <c r="N156" s="40" t="s">
        <v>104</v>
      </c>
      <c r="P156" s="9"/>
      <c r="Q156" s="40" t="s">
        <v>105</v>
      </c>
      <c r="R156" s="10"/>
      <c r="S156" s="9"/>
      <c r="T156" s="40" t="s">
        <v>108</v>
      </c>
      <c r="V156" s="9"/>
      <c r="W156" s="40" t="s">
        <v>107</v>
      </c>
      <c r="Y156" s="11" t="s">
        <v>0</v>
      </c>
      <c r="Z156" s="40" t="s">
        <v>106</v>
      </c>
    </row>
    <row r="157" spans="1:26" x14ac:dyDescent="0.25">
      <c r="A157">
        <v>5</v>
      </c>
      <c r="B157" t="s">
        <v>126</v>
      </c>
      <c r="C157" s="103" t="s">
        <v>129</v>
      </c>
      <c r="D157" s="47">
        <v>3</v>
      </c>
      <c r="F157" s="17" t="s">
        <v>145</v>
      </c>
    </row>
    <row r="158" spans="1:26" x14ac:dyDescent="0.25">
      <c r="A158">
        <v>6</v>
      </c>
      <c r="B158" t="s">
        <v>127</v>
      </c>
      <c r="C158" s="103" t="s">
        <v>129</v>
      </c>
      <c r="D158" s="47">
        <v>4</v>
      </c>
      <c r="F158" s="17"/>
    </row>
    <row r="159" spans="1:26" x14ac:dyDescent="0.25">
      <c r="A159">
        <v>7</v>
      </c>
      <c r="B159" t="s">
        <v>128</v>
      </c>
      <c r="C159" s="17" t="s">
        <v>131</v>
      </c>
      <c r="D159" s="47">
        <v>2</v>
      </c>
    </row>
    <row r="161" spans="1:26" x14ac:dyDescent="0.25">
      <c r="A161" s="8" t="s">
        <v>97</v>
      </c>
      <c r="B161" s="6"/>
      <c r="C161" s="7"/>
      <c r="D161" s="38"/>
      <c r="E161" s="38"/>
      <c r="F161" s="38"/>
      <c r="G161" s="7"/>
      <c r="H161" s="7"/>
      <c r="I161" s="7"/>
      <c r="J161" s="7"/>
    </row>
    <row r="163" spans="1:26" x14ac:dyDescent="0.25">
      <c r="B163" t="s">
        <v>96</v>
      </c>
      <c r="C163">
        <v>1273</v>
      </c>
      <c r="D163">
        <v>2</v>
      </c>
      <c r="E163" t="s">
        <v>95</v>
      </c>
      <c r="F163" s="45">
        <f>C163*2000/C166</f>
        <v>81864.95176848874</v>
      </c>
    </row>
    <row r="164" spans="1:26" x14ac:dyDescent="0.25">
      <c r="B164" t="s">
        <v>94</v>
      </c>
      <c r="C164">
        <v>51.43</v>
      </c>
      <c r="D164" s="47">
        <v>45000</v>
      </c>
      <c r="E164" t="s">
        <v>93</v>
      </c>
      <c r="F164" s="45">
        <f>C164*D164/C167</f>
        <v>14555.66037735849</v>
      </c>
    </row>
    <row r="165" spans="1:26" x14ac:dyDescent="0.25">
      <c r="B165" t="s">
        <v>14</v>
      </c>
      <c r="C165">
        <v>1.1741999999999999</v>
      </c>
    </row>
    <row r="166" spans="1:26" x14ac:dyDescent="0.25">
      <c r="B166" t="s">
        <v>92</v>
      </c>
      <c r="C166" s="15">
        <v>31.1</v>
      </c>
      <c r="D166" t="s">
        <v>147</v>
      </c>
      <c r="M166" s="9"/>
      <c r="N166" s="31">
        <v>60000</v>
      </c>
      <c r="P166" s="9"/>
      <c r="Q166" s="31">
        <v>110000</v>
      </c>
      <c r="R166" s="10"/>
      <c r="S166" s="9"/>
      <c r="T166" s="31">
        <v>130000</v>
      </c>
      <c r="V166" s="9"/>
      <c r="W166" s="31">
        <v>250000</v>
      </c>
      <c r="Y166" s="9"/>
      <c r="Z166" s="31">
        <v>700000</v>
      </c>
    </row>
    <row r="167" spans="1:26" x14ac:dyDescent="0.25">
      <c r="B167" t="s">
        <v>91</v>
      </c>
      <c r="C167">
        <v>159</v>
      </c>
      <c r="D167" t="s">
        <v>146</v>
      </c>
      <c r="M167" s="9"/>
      <c r="N167" s="31">
        <v>60000</v>
      </c>
      <c r="P167" s="11" t="s">
        <v>0</v>
      </c>
      <c r="Q167" s="31">
        <v>110000</v>
      </c>
      <c r="R167" s="10"/>
      <c r="S167" s="9"/>
      <c r="T167" s="31">
        <v>130000</v>
      </c>
      <c r="V167" s="9"/>
      <c r="W167" s="31">
        <v>250000</v>
      </c>
      <c r="Y167" s="9"/>
      <c r="Z167" s="31">
        <v>700000</v>
      </c>
    </row>
    <row r="168" spans="1:26" x14ac:dyDescent="0.25">
      <c r="B168" t="s">
        <v>90</v>
      </c>
      <c r="C168">
        <v>2102</v>
      </c>
      <c r="D168" s="47">
        <v>15</v>
      </c>
      <c r="E168" t="s">
        <v>89</v>
      </c>
      <c r="F168">
        <f>C168*D168</f>
        <v>31530</v>
      </c>
    </row>
    <row r="170" spans="1:26" ht="15.75" thickBot="1" x14ac:dyDescent="0.3">
      <c r="F170" s="45">
        <f>F163+F164+F168</f>
        <v>127950.61214584723</v>
      </c>
      <c r="G170" t="s">
        <v>88</v>
      </c>
    </row>
    <row r="171" spans="1:26" ht="15.75" thickBot="1" x14ac:dyDescent="0.3">
      <c r="F171" s="104">
        <f>F170/C165</f>
        <v>108968.32919932486</v>
      </c>
      <c r="G171" t="s">
        <v>87</v>
      </c>
    </row>
  </sheetData>
  <mergeCells count="24">
    <mergeCell ref="C114:G114"/>
    <mergeCell ref="C115:D115"/>
    <mergeCell ref="F115:G115"/>
    <mergeCell ref="C96:G96"/>
    <mergeCell ref="C97:D97"/>
    <mergeCell ref="F97:G97"/>
    <mergeCell ref="C105:G105"/>
    <mergeCell ref="C106:D106"/>
    <mergeCell ref="F106:G106"/>
    <mergeCell ref="C66:G66"/>
    <mergeCell ref="C67:D67"/>
    <mergeCell ref="F67:G67"/>
    <mergeCell ref="C87:G87"/>
    <mergeCell ref="C88:D88"/>
    <mergeCell ref="F88:G88"/>
    <mergeCell ref="C75:G75"/>
    <mergeCell ref="C76:D76"/>
    <mergeCell ref="F76:G76"/>
    <mergeCell ref="C47:G47"/>
    <mergeCell ref="C48:D48"/>
    <mergeCell ref="F48:G48"/>
    <mergeCell ref="C57:G57"/>
    <mergeCell ref="C58:D58"/>
    <mergeCell ref="F58:G5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AFH</cp:lastModifiedBy>
  <dcterms:created xsi:type="dcterms:W3CDTF">2016-09-27T16:23:16Z</dcterms:created>
  <dcterms:modified xsi:type="dcterms:W3CDTF">2018-09-20T16:10:16Z</dcterms:modified>
</cp:coreProperties>
</file>